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УБЕЦ\статистическая отчетностьмониторинги и отчеты\олимпиады\олимпиада  2018 2019\олимпиада осень 2 этап  2018\"/>
    </mc:Choice>
  </mc:AlternateContent>
  <bookViews>
    <workbookView xWindow="4290" yWindow="-210" windowWidth="15480" windowHeight="9540" tabRatio="730" firstSheet="3" activeTab="6"/>
  </bookViews>
  <sheets>
    <sheet name="Самопроверка по школам" sheetId="1" r:id="rId1"/>
    <sheet name="Предварительная Результативност" sheetId="2" r:id="rId2"/>
    <sheet name="Результативность по предметам" sheetId="7" r:id="rId3"/>
    <sheet name="Награждение по итогам" sheetId="4" r:id="rId4"/>
    <sheet name="Похвальные листы Школы Предметы" sheetId="6" r:id="rId5"/>
    <sheet name="К-во уч-ков по школам по предм" sheetId="8" r:id="rId6"/>
    <sheet name="нерезульт.выступление" sheetId="3" r:id="rId7"/>
  </sheets>
  <definedNames>
    <definedName name="_GoBack" localSheetId="0">'Самопроверка по школам'!#REF!</definedName>
    <definedName name="_xlnm._FilterDatabase" localSheetId="0" hidden="1">'Самопроверка по школам'!$E$1:$E$255</definedName>
  </definedNames>
  <calcPr calcId="162913"/>
</workbook>
</file>

<file path=xl/calcChain.xml><?xml version="1.0" encoding="utf-8"?>
<calcChain xmlns="http://schemas.openxmlformats.org/spreadsheetml/2006/main">
  <c r="I239" i="1" l="1"/>
  <c r="I240" i="1"/>
  <c r="I241" i="1"/>
  <c r="I242" i="1"/>
  <c r="I243" i="1"/>
  <c r="I244" i="1"/>
  <c r="T9" i="3" l="1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D28" i="3"/>
  <c r="I193" i="1"/>
  <c r="I194" i="1"/>
  <c r="I195" i="1"/>
  <c r="I196" i="1"/>
  <c r="I197" i="1"/>
  <c r="I198" i="1"/>
  <c r="I199" i="1"/>
  <c r="I200" i="1"/>
  <c r="I20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92" i="1"/>
  <c r="I252" i="1"/>
  <c r="I249" i="1"/>
  <c r="I250" i="1"/>
  <c r="I161" i="1"/>
  <c r="I191" i="1"/>
  <c r="I189" i="1"/>
  <c r="I190" i="1"/>
  <c r="I185" i="1"/>
  <c r="I186" i="1"/>
  <c r="I187" i="1"/>
  <c r="I188" i="1"/>
  <c r="I142" i="1"/>
  <c r="I143" i="1"/>
  <c r="I245" i="1"/>
  <c r="I246" i="1"/>
  <c r="I247" i="1"/>
  <c r="I248" i="1"/>
  <c r="R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C16" i="7"/>
  <c r="F15" i="2"/>
  <c r="H15" i="2"/>
  <c r="I28" i="1"/>
  <c r="I29" i="1"/>
  <c r="I14" i="1"/>
  <c r="I46" i="1"/>
  <c r="I57" i="1"/>
  <c r="I37" i="1"/>
  <c r="I47" i="1"/>
  <c r="I67" i="1"/>
  <c r="I59" i="1"/>
  <c r="I39" i="1"/>
  <c r="I60" i="1"/>
  <c r="I61" i="1"/>
  <c r="I62" i="1"/>
  <c r="I68" i="1"/>
  <c r="I54" i="1"/>
  <c r="I69" i="1"/>
  <c r="I63" i="1"/>
  <c r="I38" i="1"/>
  <c r="I44" i="1"/>
  <c r="I40" i="1"/>
  <c r="I45" i="1"/>
  <c r="I64" i="1"/>
  <c r="I48" i="1"/>
  <c r="I41" i="1"/>
  <c r="I42" i="1"/>
  <c r="I49" i="1"/>
  <c r="I56" i="1"/>
  <c r="I65" i="1"/>
  <c r="I66" i="1"/>
  <c r="I58" i="1"/>
  <c r="I50" i="1"/>
  <c r="I55" i="1"/>
  <c r="I51" i="1"/>
  <c r="I43" i="1"/>
  <c r="I70" i="1"/>
  <c r="I53" i="1"/>
  <c r="I52" i="1"/>
  <c r="I77" i="1"/>
  <c r="I74" i="1"/>
  <c r="I80" i="1"/>
  <c r="I71" i="1"/>
  <c r="I83" i="1"/>
  <c r="I81" i="1"/>
  <c r="I79" i="1"/>
  <c r="I84" i="1"/>
  <c r="I75" i="1"/>
  <c r="I72" i="1"/>
  <c r="I78" i="1"/>
  <c r="I82" i="1"/>
  <c r="I73" i="1"/>
  <c r="I76" i="1"/>
  <c r="I85" i="1"/>
  <c r="I86" i="1"/>
  <c r="I87" i="1"/>
  <c r="I88" i="1"/>
  <c r="I89" i="1"/>
  <c r="I90" i="1"/>
  <c r="I91" i="1"/>
  <c r="I95" i="1"/>
  <c r="I96" i="1"/>
  <c r="I97" i="1"/>
  <c r="I101" i="1"/>
  <c r="I99" i="1"/>
  <c r="I102" i="1"/>
  <c r="I103" i="1"/>
  <c r="I104" i="1"/>
  <c r="I100" i="1"/>
  <c r="I93" i="1"/>
  <c r="I92" i="1"/>
  <c r="I94" i="1"/>
  <c r="I98" i="1"/>
  <c r="I116" i="1"/>
  <c r="I122" i="1"/>
  <c r="I123" i="1"/>
  <c r="I124" i="1"/>
  <c r="I108" i="1"/>
  <c r="I109" i="1"/>
  <c r="I110" i="1"/>
  <c r="I117" i="1"/>
  <c r="I118" i="1"/>
  <c r="I125" i="1"/>
  <c r="I111" i="1"/>
  <c r="I112" i="1"/>
  <c r="I114" i="1"/>
  <c r="I105" i="1"/>
  <c r="I119" i="1"/>
  <c r="I126" i="1"/>
  <c r="I120" i="1"/>
  <c r="I107" i="1"/>
  <c r="I115" i="1"/>
  <c r="I127" i="1"/>
  <c r="I121" i="1"/>
  <c r="I113" i="1"/>
  <c r="I106" i="1"/>
  <c r="I129" i="1"/>
  <c r="I130" i="1"/>
  <c r="I128" i="1"/>
  <c r="I136" i="1"/>
  <c r="I145" i="1"/>
  <c r="I132" i="1"/>
  <c r="I146" i="1"/>
  <c r="I138" i="1"/>
  <c r="I133" i="1"/>
  <c r="I139" i="1"/>
  <c r="I140" i="1"/>
  <c r="I141" i="1"/>
  <c r="I144" i="1"/>
  <c r="I135" i="1"/>
  <c r="I137" i="1"/>
  <c r="I134" i="1"/>
  <c r="I147" i="1"/>
  <c r="I131" i="1"/>
  <c r="I149" i="1"/>
  <c r="I158" i="1"/>
  <c r="I153" i="1"/>
  <c r="I159" i="1"/>
  <c r="I157" i="1"/>
  <c r="I148" i="1"/>
  <c r="I150" i="1"/>
  <c r="I155" i="1"/>
  <c r="I154" i="1"/>
  <c r="I156" i="1"/>
  <c r="I151" i="1"/>
  <c r="I152" i="1"/>
  <c r="I160" i="1"/>
  <c r="I238" i="1"/>
  <c r="I251" i="1"/>
  <c r="I15" i="1"/>
  <c r="I16" i="1"/>
  <c r="I18" i="1"/>
  <c r="I35" i="1"/>
  <c r="I19" i="1"/>
  <c r="I13" i="1"/>
  <c r="I26" i="1"/>
  <c r="I20" i="1"/>
  <c r="I21" i="1"/>
  <c r="I17" i="1"/>
  <c r="I36" i="1"/>
  <c r="I23" i="1"/>
  <c r="I24" i="1"/>
  <c r="I25" i="1"/>
  <c r="I22" i="1"/>
  <c r="I27" i="1"/>
  <c r="I30" i="1"/>
  <c r="I31" i="1"/>
  <c r="I32" i="1"/>
  <c r="I33" i="1"/>
  <c r="I34" i="1"/>
  <c r="I11" i="1"/>
  <c r="I12" i="1"/>
  <c r="I9" i="1"/>
  <c r="I10" i="1"/>
  <c r="I7" i="1"/>
  <c r="I8" i="1"/>
  <c r="I3" i="1"/>
  <c r="I2" i="1"/>
  <c r="I5" i="1"/>
  <c r="I6" i="1"/>
  <c r="I4" i="1"/>
  <c r="U8" i="3" l="1"/>
  <c r="Q14" i="6"/>
  <c r="H17" i="7"/>
  <c r="V17" i="7"/>
  <c r="H14" i="7"/>
  <c r="V14" i="7"/>
  <c r="H6" i="7"/>
  <c r="V6" i="7"/>
  <c r="G5" i="7"/>
  <c r="H12" i="7" l="1"/>
  <c r="H5" i="7"/>
  <c r="G8" i="7"/>
  <c r="I17" i="4" l="1"/>
  <c r="J17" i="4"/>
  <c r="K17" i="4"/>
  <c r="L17" i="4"/>
  <c r="W21" i="7"/>
  <c r="C17" i="4" s="1"/>
  <c r="Q5" i="7" l="1"/>
  <c r="T17" i="3" l="1"/>
  <c r="T16" i="3"/>
  <c r="T15" i="3"/>
  <c r="T14" i="3"/>
  <c r="T12" i="3"/>
  <c r="T11" i="3"/>
  <c r="T6" i="3"/>
  <c r="T5" i="3"/>
  <c r="R15" i="6"/>
  <c r="R13" i="6"/>
  <c r="R12" i="6"/>
  <c r="R10" i="6"/>
  <c r="R9" i="6"/>
  <c r="R8" i="6"/>
  <c r="R7" i="6"/>
  <c r="R6" i="6"/>
  <c r="R4" i="6"/>
  <c r="R3" i="6"/>
  <c r="H17" i="4"/>
  <c r="G17" i="4"/>
  <c r="F17" i="4"/>
  <c r="E17" i="4"/>
  <c r="B17" i="4"/>
  <c r="B16" i="4"/>
  <c r="T21" i="3" l="1"/>
  <c r="T5" i="8"/>
  <c r="T8" i="8"/>
  <c r="T12" i="8"/>
  <c r="T15" i="8"/>
  <c r="T17" i="8"/>
  <c r="T9" i="8"/>
  <c r="T11" i="8"/>
  <c r="T6" i="8"/>
  <c r="T14" i="8"/>
  <c r="T16" i="8"/>
  <c r="D17" i="4"/>
  <c r="D15" i="2"/>
  <c r="C15" i="2"/>
  <c r="E15" i="2"/>
  <c r="G12" i="7"/>
  <c r="H8" i="7"/>
  <c r="F8" i="7"/>
  <c r="T21" i="8" l="1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C8" i="7"/>
  <c r="H7" i="2"/>
  <c r="F7" i="2"/>
  <c r="E7" i="2"/>
  <c r="D7" i="2"/>
  <c r="C7" i="2"/>
  <c r="R19" i="6"/>
  <c r="J16" i="4" l="1"/>
  <c r="E14" i="2"/>
  <c r="D14" i="2"/>
  <c r="C14" i="2" l="1"/>
  <c r="E6" i="4" l="1"/>
  <c r="F16" i="4" l="1"/>
  <c r="B6" i="4" l="1"/>
  <c r="F14" i="2"/>
  <c r="I16" i="3"/>
  <c r="I15" i="3"/>
  <c r="I14" i="3"/>
  <c r="I12" i="3"/>
  <c r="I11" i="3"/>
  <c r="I6" i="3"/>
  <c r="I5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S16" i="3"/>
  <c r="S16" i="8" s="1"/>
  <c r="R16" i="3"/>
  <c r="Q16" i="3"/>
  <c r="P16" i="3"/>
  <c r="O16" i="3"/>
  <c r="N16" i="3"/>
  <c r="M16" i="3"/>
  <c r="L16" i="3"/>
  <c r="K16" i="3"/>
  <c r="J16" i="3"/>
  <c r="H16" i="3"/>
  <c r="G16" i="3"/>
  <c r="F16" i="3"/>
  <c r="S15" i="3"/>
  <c r="R15" i="3"/>
  <c r="Q15" i="3"/>
  <c r="P15" i="3"/>
  <c r="O15" i="3"/>
  <c r="N15" i="3"/>
  <c r="M15" i="3"/>
  <c r="L15" i="3"/>
  <c r="K15" i="3"/>
  <c r="J15" i="3"/>
  <c r="H15" i="3"/>
  <c r="G15" i="3"/>
  <c r="F15" i="3"/>
  <c r="S14" i="3"/>
  <c r="R14" i="3"/>
  <c r="Q14" i="3"/>
  <c r="P14" i="3"/>
  <c r="O14" i="3"/>
  <c r="N14" i="3"/>
  <c r="M14" i="3"/>
  <c r="L14" i="3"/>
  <c r="K14" i="3"/>
  <c r="J14" i="3"/>
  <c r="H14" i="3"/>
  <c r="G14" i="3"/>
  <c r="F14" i="3"/>
  <c r="S12" i="3"/>
  <c r="R12" i="3"/>
  <c r="Q12" i="3"/>
  <c r="P12" i="3"/>
  <c r="O12" i="3"/>
  <c r="N12" i="3"/>
  <c r="M12" i="3"/>
  <c r="L12" i="3"/>
  <c r="K12" i="3"/>
  <c r="J12" i="3"/>
  <c r="H12" i="3"/>
  <c r="G12" i="3"/>
  <c r="F12" i="3"/>
  <c r="S11" i="3"/>
  <c r="R11" i="3"/>
  <c r="Q11" i="3"/>
  <c r="P11" i="3"/>
  <c r="O11" i="3"/>
  <c r="N11" i="3"/>
  <c r="M11" i="3"/>
  <c r="L11" i="3"/>
  <c r="K11" i="3"/>
  <c r="J11" i="3"/>
  <c r="H11" i="3"/>
  <c r="G11" i="3"/>
  <c r="F11" i="3"/>
  <c r="U9" i="3"/>
  <c r="S6" i="3"/>
  <c r="R6" i="3"/>
  <c r="Q6" i="3"/>
  <c r="P6" i="3"/>
  <c r="O6" i="3"/>
  <c r="N6" i="3"/>
  <c r="M6" i="3"/>
  <c r="L6" i="3"/>
  <c r="K6" i="3"/>
  <c r="J6" i="3"/>
  <c r="H6" i="3"/>
  <c r="G6" i="3"/>
  <c r="F6" i="3"/>
  <c r="S5" i="3"/>
  <c r="R5" i="3"/>
  <c r="Q5" i="3"/>
  <c r="P5" i="3"/>
  <c r="O5" i="3"/>
  <c r="N5" i="3"/>
  <c r="M5" i="3"/>
  <c r="L5" i="3"/>
  <c r="K5" i="3"/>
  <c r="J5" i="3"/>
  <c r="H5" i="3"/>
  <c r="G5" i="3"/>
  <c r="F5" i="3"/>
  <c r="C13" i="6"/>
  <c r="C4" i="6"/>
  <c r="C3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12" i="7"/>
  <c r="C17" i="7"/>
  <c r="C15" i="7"/>
  <c r="C14" i="7"/>
  <c r="C11" i="7"/>
  <c r="C9" i="7"/>
  <c r="C6" i="7"/>
  <c r="C5" i="7"/>
  <c r="G6" i="4"/>
  <c r="F6" i="4"/>
  <c r="K6" i="4"/>
  <c r="L7" i="4"/>
  <c r="L6" i="4"/>
  <c r="J6" i="4"/>
  <c r="I6" i="4"/>
  <c r="I4" i="4"/>
  <c r="F16" i="2"/>
  <c r="E16" i="2"/>
  <c r="D16" i="2"/>
  <c r="F13" i="2"/>
  <c r="E13" i="2"/>
  <c r="D13" i="2"/>
  <c r="F11" i="2"/>
  <c r="E11" i="2"/>
  <c r="D11" i="2"/>
  <c r="F10" i="2"/>
  <c r="E10" i="2"/>
  <c r="D10" i="2"/>
  <c r="F8" i="2"/>
  <c r="E8" i="2"/>
  <c r="D8" i="2"/>
  <c r="F4" i="2"/>
  <c r="D4" i="2"/>
  <c r="H16" i="2"/>
  <c r="H14" i="2"/>
  <c r="H13" i="2"/>
  <c r="H11" i="2"/>
  <c r="H10" i="2"/>
  <c r="H8" i="2"/>
  <c r="H5" i="2"/>
  <c r="H4" i="2"/>
  <c r="C16" i="2"/>
  <c r="C13" i="2"/>
  <c r="C11" i="2"/>
  <c r="C8" i="2"/>
  <c r="F5" i="2"/>
  <c r="E5" i="2"/>
  <c r="D5" i="2"/>
  <c r="C5" i="2"/>
  <c r="E4" i="2"/>
  <c r="C4" i="2"/>
  <c r="L16" i="4"/>
  <c r="K16" i="4"/>
  <c r="I16" i="4"/>
  <c r="L15" i="4"/>
  <c r="K15" i="4"/>
  <c r="J15" i="4"/>
  <c r="I15" i="4"/>
  <c r="L14" i="4"/>
  <c r="K14" i="4"/>
  <c r="J14" i="4"/>
  <c r="I14" i="4"/>
  <c r="L13" i="4"/>
  <c r="K13" i="4"/>
  <c r="J13" i="4"/>
  <c r="I13" i="4"/>
  <c r="L12" i="4"/>
  <c r="K12" i="4"/>
  <c r="J12" i="4"/>
  <c r="I12" i="4"/>
  <c r="L11" i="4"/>
  <c r="K11" i="4"/>
  <c r="J11" i="4"/>
  <c r="I11" i="4"/>
  <c r="L10" i="4"/>
  <c r="K10" i="4"/>
  <c r="J10" i="4"/>
  <c r="I10" i="4"/>
  <c r="L9" i="4"/>
  <c r="K9" i="4"/>
  <c r="J9" i="4"/>
  <c r="I9" i="4"/>
  <c r="L8" i="4"/>
  <c r="K8" i="4"/>
  <c r="J8" i="4"/>
  <c r="I8" i="4"/>
  <c r="K7" i="4"/>
  <c r="J7" i="4"/>
  <c r="I7" i="4"/>
  <c r="L5" i="4"/>
  <c r="K5" i="4"/>
  <c r="J5" i="4"/>
  <c r="I5" i="4"/>
  <c r="L4" i="4"/>
  <c r="K4" i="4"/>
  <c r="J4" i="4"/>
  <c r="H16" i="4"/>
  <c r="G16" i="4"/>
  <c r="E16" i="4"/>
  <c r="H15" i="4"/>
  <c r="G15" i="4"/>
  <c r="F15" i="4"/>
  <c r="E15" i="4"/>
  <c r="H14" i="4"/>
  <c r="G14" i="4"/>
  <c r="F14" i="4"/>
  <c r="E14" i="4"/>
  <c r="H13" i="4"/>
  <c r="G13" i="4"/>
  <c r="F13" i="4"/>
  <c r="E13" i="4"/>
  <c r="H12" i="4"/>
  <c r="G12" i="4"/>
  <c r="F12" i="4"/>
  <c r="E12" i="4"/>
  <c r="H11" i="4"/>
  <c r="G11" i="4"/>
  <c r="F11" i="4"/>
  <c r="E11" i="4"/>
  <c r="H10" i="4"/>
  <c r="G10" i="4"/>
  <c r="F10" i="4"/>
  <c r="E10" i="4"/>
  <c r="H9" i="4"/>
  <c r="G9" i="4"/>
  <c r="F9" i="4"/>
  <c r="E9" i="4"/>
  <c r="H8" i="4"/>
  <c r="G8" i="4"/>
  <c r="F8" i="4"/>
  <c r="E8" i="4"/>
  <c r="H7" i="4"/>
  <c r="G7" i="4"/>
  <c r="F7" i="4"/>
  <c r="E7" i="4"/>
  <c r="H6" i="4"/>
  <c r="H5" i="4"/>
  <c r="G5" i="4"/>
  <c r="F5" i="4"/>
  <c r="E5" i="4"/>
  <c r="H4" i="4"/>
  <c r="G4" i="4"/>
  <c r="F4" i="4"/>
  <c r="E4" i="4"/>
  <c r="B15" i="4"/>
  <c r="B14" i="4"/>
  <c r="B13" i="4"/>
  <c r="B12" i="4"/>
  <c r="B11" i="4"/>
  <c r="B10" i="4"/>
  <c r="B9" i="4"/>
  <c r="B8" i="4"/>
  <c r="B7" i="4"/>
  <c r="B5" i="4"/>
  <c r="B4" i="4"/>
  <c r="C30" i="2"/>
  <c r="F21" i="3" l="1"/>
  <c r="U15" i="3"/>
  <c r="U12" i="3"/>
  <c r="U17" i="3"/>
  <c r="U5" i="3"/>
  <c r="U6" i="3"/>
  <c r="U11" i="3"/>
  <c r="U14" i="3"/>
  <c r="U16" i="3"/>
  <c r="E18" i="4"/>
  <c r="G18" i="4"/>
  <c r="J18" i="4"/>
  <c r="L18" i="4"/>
  <c r="K18" i="4"/>
  <c r="B18" i="4"/>
  <c r="F18" i="4"/>
  <c r="H18" i="4"/>
  <c r="I18" i="4"/>
  <c r="B21" i="3"/>
  <c r="B21" i="8"/>
  <c r="E6" i="7"/>
  <c r="D6" i="7" s="1"/>
  <c r="E9" i="7"/>
  <c r="D9" i="7" s="1"/>
  <c r="E11" i="7"/>
  <c r="D11" i="7" s="1"/>
  <c r="E12" i="7"/>
  <c r="D12" i="7" s="1"/>
  <c r="E14" i="7"/>
  <c r="D14" i="7" s="1"/>
  <c r="E15" i="7"/>
  <c r="E16" i="7"/>
  <c r="D16" i="7" s="1"/>
  <c r="E17" i="7"/>
  <c r="D17" i="7" s="1"/>
  <c r="E5" i="7"/>
  <c r="D5" i="7" s="1"/>
  <c r="B21" i="7"/>
  <c r="M18" i="4" l="1"/>
  <c r="I21" i="7"/>
  <c r="K21" i="7"/>
  <c r="L21" i="7"/>
  <c r="N21" i="7"/>
  <c r="C9" i="4" s="1"/>
  <c r="D9" i="4" s="1"/>
  <c r="P21" i="7"/>
  <c r="C15" i="4" s="1"/>
  <c r="D15" i="4" s="1"/>
  <c r="Q21" i="7"/>
  <c r="C13" i="4" s="1"/>
  <c r="D13" i="4" s="1"/>
  <c r="S21" i="7"/>
  <c r="C8" i="4" s="1"/>
  <c r="D8" i="4" s="1"/>
  <c r="T21" i="7"/>
  <c r="C10" i="4" s="1"/>
  <c r="D10" i="4" s="1"/>
  <c r="U21" i="7"/>
  <c r="C12" i="4" s="1"/>
  <c r="D12" i="4" s="1"/>
  <c r="V21" i="7"/>
  <c r="C16" i="4" s="1"/>
  <c r="D16" i="4" s="1"/>
  <c r="O21" i="7"/>
  <c r="C14" i="4" s="1"/>
  <c r="D14" i="4" s="1"/>
  <c r="M21" i="7"/>
  <c r="C7" i="4" s="1"/>
  <c r="D7" i="4" s="1"/>
  <c r="E8" i="7"/>
  <c r="D8" i="7" s="1"/>
  <c r="F21" i="7"/>
  <c r="C10" i="2"/>
  <c r="C5" i="4" l="1"/>
  <c r="D5" i="4" s="1"/>
  <c r="J21" i="7"/>
  <c r="C4" i="4" s="1"/>
  <c r="R21" i="7"/>
  <c r="C11" i="4" s="1"/>
  <c r="D11" i="4" s="1"/>
  <c r="C6" i="4"/>
  <c r="D6" i="4" s="1"/>
  <c r="G21" i="7"/>
  <c r="C21" i="7"/>
  <c r="H21" i="7"/>
  <c r="D4" i="4" l="1"/>
  <c r="C18" i="4"/>
  <c r="D18" i="4" s="1"/>
  <c r="E21" i="7"/>
  <c r="D21" i="7" s="1"/>
  <c r="E17" i="8"/>
  <c r="E16" i="8"/>
  <c r="E15" i="8"/>
  <c r="E14" i="8"/>
  <c r="E12" i="8"/>
  <c r="E11" i="8"/>
  <c r="E9" i="8"/>
  <c r="E8" i="8"/>
  <c r="E6" i="8"/>
  <c r="E5" i="8"/>
  <c r="E21" i="8" l="1"/>
  <c r="E6" i="3"/>
  <c r="E8" i="3"/>
  <c r="E9" i="3"/>
  <c r="E11" i="3"/>
  <c r="E12" i="3"/>
  <c r="E14" i="3"/>
  <c r="E15" i="3"/>
  <c r="E16" i="3"/>
  <c r="E17" i="3"/>
  <c r="E21" i="3"/>
  <c r="E5" i="3"/>
  <c r="Q18" i="6" l="1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F5" i="8"/>
  <c r="S14" i="8"/>
  <c r="R14" i="8"/>
  <c r="Q14" i="8"/>
  <c r="I14" i="8"/>
  <c r="S12" i="8"/>
  <c r="Q12" i="8"/>
  <c r="S11" i="8"/>
  <c r="R11" i="8"/>
  <c r="Q11" i="8"/>
  <c r="I11" i="8"/>
  <c r="S9" i="8"/>
  <c r="R9" i="8"/>
  <c r="Q9" i="8"/>
  <c r="I9" i="8"/>
  <c r="S8" i="8"/>
  <c r="Q8" i="8"/>
  <c r="S6" i="8"/>
  <c r="R6" i="8"/>
  <c r="Q6" i="8"/>
  <c r="I6" i="8"/>
  <c r="S5" i="8"/>
  <c r="R5" i="8"/>
  <c r="Q5" i="8"/>
  <c r="I5" i="8"/>
  <c r="P14" i="8"/>
  <c r="O14" i="8"/>
  <c r="N14" i="8"/>
  <c r="M14" i="8"/>
  <c r="L14" i="8"/>
  <c r="K14" i="8"/>
  <c r="J14" i="8"/>
  <c r="H14" i="8"/>
  <c r="G14" i="8"/>
  <c r="F14" i="8"/>
  <c r="R12" i="8"/>
  <c r="I12" i="8"/>
  <c r="P12" i="8"/>
  <c r="O12" i="8"/>
  <c r="N12" i="8"/>
  <c r="M12" i="8"/>
  <c r="L12" i="8"/>
  <c r="K12" i="8"/>
  <c r="J12" i="8"/>
  <c r="H12" i="8"/>
  <c r="G12" i="8"/>
  <c r="F12" i="8"/>
  <c r="P11" i="8"/>
  <c r="O11" i="8"/>
  <c r="N11" i="8"/>
  <c r="M11" i="8"/>
  <c r="L11" i="8"/>
  <c r="K11" i="8"/>
  <c r="J11" i="8"/>
  <c r="H11" i="8"/>
  <c r="G11" i="8"/>
  <c r="F11" i="8"/>
  <c r="P9" i="8"/>
  <c r="O9" i="8"/>
  <c r="N9" i="8"/>
  <c r="M9" i="8"/>
  <c r="L9" i="8"/>
  <c r="K9" i="8"/>
  <c r="J9" i="8"/>
  <c r="H9" i="8"/>
  <c r="G9" i="8"/>
  <c r="F9" i="8"/>
  <c r="R8" i="8"/>
  <c r="I8" i="8"/>
  <c r="P8" i="8"/>
  <c r="O8" i="8"/>
  <c r="N8" i="8"/>
  <c r="M8" i="8"/>
  <c r="L8" i="8"/>
  <c r="K8" i="8"/>
  <c r="J8" i="8"/>
  <c r="H8" i="8"/>
  <c r="G8" i="8"/>
  <c r="F8" i="8"/>
  <c r="F6" i="8"/>
  <c r="P6" i="8"/>
  <c r="O6" i="8"/>
  <c r="N6" i="8"/>
  <c r="M6" i="8"/>
  <c r="L6" i="8"/>
  <c r="K6" i="8"/>
  <c r="J6" i="8"/>
  <c r="H6" i="8"/>
  <c r="G6" i="8"/>
  <c r="H5" i="8"/>
  <c r="P5" i="8"/>
  <c r="O5" i="8"/>
  <c r="N5" i="8"/>
  <c r="M5" i="8"/>
  <c r="L5" i="8"/>
  <c r="K5" i="8"/>
  <c r="J5" i="8"/>
  <c r="G5" i="8"/>
  <c r="C18" i="6"/>
  <c r="C17" i="6"/>
  <c r="C16" i="6"/>
  <c r="U17" i="8"/>
  <c r="U16" i="8"/>
  <c r="U15" i="8"/>
  <c r="U14" i="8"/>
  <c r="U12" i="8"/>
  <c r="U11" i="8"/>
  <c r="U9" i="8"/>
  <c r="U8" i="8"/>
  <c r="U6" i="8"/>
  <c r="U5" i="8"/>
  <c r="S16" i="6" l="1"/>
  <c r="S17" i="6"/>
  <c r="S18" i="6"/>
  <c r="S21" i="8"/>
  <c r="Q19" i="6"/>
  <c r="K21" i="8"/>
  <c r="M21" i="8"/>
  <c r="O21" i="8"/>
  <c r="H21" i="8"/>
  <c r="J21" i="8"/>
  <c r="L21" i="8"/>
  <c r="N21" i="8"/>
  <c r="P21" i="8"/>
  <c r="G21" i="8"/>
  <c r="U21" i="8"/>
  <c r="Q21" i="8"/>
  <c r="F21" i="8"/>
  <c r="I21" i="8"/>
  <c r="R21" i="8"/>
  <c r="D19" i="6"/>
  <c r="G19" i="6"/>
  <c r="I19" i="6"/>
  <c r="M19" i="6"/>
  <c r="O19" i="6"/>
  <c r="E19" i="6"/>
  <c r="K19" i="6"/>
  <c r="P19" i="6"/>
  <c r="C19" i="6"/>
  <c r="F19" i="6"/>
  <c r="H19" i="6"/>
  <c r="J19" i="6"/>
  <c r="L19" i="6"/>
  <c r="N19" i="6"/>
  <c r="C17" i="8"/>
  <c r="D17" i="8" s="1"/>
  <c r="C16" i="8"/>
  <c r="C15" i="8"/>
  <c r="D15" i="8" s="1"/>
  <c r="C14" i="8"/>
  <c r="D14" i="8" s="1"/>
  <c r="C12" i="8"/>
  <c r="D12" i="8" s="1"/>
  <c r="C11" i="8"/>
  <c r="D11" i="8" s="1"/>
  <c r="C9" i="8"/>
  <c r="D9" i="8" s="1"/>
  <c r="C8" i="8"/>
  <c r="D8" i="8" s="1"/>
  <c r="C6" i="8"/>
  <c r="D6" i="8" s="1"/>
  <c r="C5" i="8"/>
  <c r="D5" i="8" s="1"/>
  <c r="W23" i="8" l="1"/>
  <c r="S19" i="6"/>
  <c r="C20" i="2"/>
  <c r="C21" i="8"/>
  <c r="D21" i="8" s="1"/>
  <c r="H20" i="2" l="1"/>
  <c r="C6" i="3"/>
  <c r="C8" i="3"/>
  <c r="C9" i="3"/>
  <c r="C11" i="3"/>
  <c r="C12" i="3"/>
  <c r="C14" i="3"/>
  <c r="C15" i="3"/>
  <c r="C16" i="3"/>
  <c r="D16" i="3" s="1"/>
  <c r="C17" i="3"/>
  <c r="C5" i="3"/>
  <c r="N123" i="1"/>
  <c r="V5" i="3" l="1"/>
  <c r="D5" i="3"/>
  <c r="V17" i="3"/>
  <c r="D17" i="3"/>
  <c r="V15" i="3"/>
  <c r="D15" i="3"/>
  <c r="V11" i="3"/>
  <c r="D11" i="3"/>
  <c r="V9" i="3"/>
  <c r="D9" i="3"/>
  <c r="V16" i="3"/>
  <c r="V14" i="3"/>
  <c r="D14" i="3"/>
  <c r="V12" i="3"/>
  <c r="D12" i="3"/>
  <c r="V8" i="3"/>
  <c r="D8" i="3"/>
  <c r="V6" i="3"/>
  <c r="D6" i="3"/>
  <c r="V21" i="3" l="1"/>
  <c r="F20" i="2"/>
  <c r="D20" i="2" l="1"/>
  <c r="G4" i="2" l="1"/>
  <c r="I4" i="2" s="1"/>
  <c r="C21" i="3" l="1"/>
  <c r="S21" i="3" l="1"/>
  <c r="R21" i="3"/>
  <c r="Q21" i="3"/>
  <c r="P21" i="3"/>
  <c r="O21" i="3"/>
  <c r="N21" i="3"/>
  <c r="M21" i="3"/>
  <c r="L21" i="3"/>
  <c r="K21" i="3"/>
  <c r="J21" i="3"/>
  <c r="I21" i="3"/>
  <c r="H21" i="3"/>
  <c r="G21" i="3"/>
  <c r="G7" i="2"/>
  <c r="I7" i="2" s="1"/>
  <c r="G10" i="2"/>
  <c r="I10" i="2" s="1"/>
  <c r="G11" i="2"/>
  <c r="I11" i="2" s="1"/>
  <c r="E20" i="2"/>
  <c r="G14" i="2"/>
  <c r="I14" i="2" s="1"/>
  <c r="G13" i="2"/>
  <c r="I13" i="2" s="1"/>
  <c r="G16" i="2"/>
  <c r="I16" i="2" s="1"/>
  <c r="G8" i="2"/>
  <c r="I8" i="2" s="1"/>
  <c r="G15" i="2"/>
  <c r="I15" i="2" s="1"/>
  <c r="G5" i="2"/>
  <c r="I5" i="2" s="1"/>
  <c r="U22" i="3" l="1"/>
  <c r="U21" i="3"/>
  <c r="G20" i="2"/>
  <c r="I20" i="2" s="1"/>
  <c r="D21" i="3"/>
</calcChain>
</file>

<file path=xl/sharedStrings.xml><?xml version="1.0" encoding="utf-8"?>
<sst xmlns="http://schemas.openxmlformats.org/spreadsheetml/2006/main" count="1313" uniqueCount="402">
  <si>
    <t>Ф.И.О. участника</t>
  </si>
  <si>
    <t>УО</t>
  </si>
  <si>
    <t>Ф.ИО.учителя</t>
  </si>
  <si>
    <t>Диплом</t>
  </si>
  <si>
    <t>Предмет</t>
  </si>
  <si>
    <t>Набрано баллов</t>
  </si>
  <si>
    <t>%</t>
  </si>
  <si>
    <t>Макс. кол-во баллов</t>
  </si>
  <si>
    <t>Класс</t>
  </si>
  <si>
    <t>№ п/п</t>
  </si>
  <si>
    <t>СШ №2 г.Сенно</t>
  </si>
  <si>
    <t>Богдановская СШ</t>
  </si>
  <si>
    <t>Студёнковская ДССШ</t>
  </si>
  <si>
    <t>СШ №1 г.Сенно</t>
  </si>
  <si>
    <t>Мошканская ДССШ</t>
  </si>
  <si>
    <t>Белицкая ДССШ</t>
  </si>
  <si>
    <t>Коковчинская ДССШ</t>
  </si>
  <si>
    <t>II</t>
  </si>
  <si>
    <t>III</t>
  </si>
  <si>
    <t>I</t>
  </si>
  <si>
    <t>Сенненская школа-интернат</t>
  </si>
  <si>
    <t>Ульяновичская ДСБШ</t>
  </si>
  <si>
    <t>№</t>
  </si>
  <si>
    <t>Степени дипломов</t>
  </si>
  <si>
    <t>Похвальные листы</t>
  </si>
  <si>
    <t>СШ №2г.Сенно</t>
  </si>
  <si>
    <t>Немойтовская ДСБШ</t>
  </si>
  <si>
    <t>Всего дипломов</t>
  </si>
  <si>
    <t>Богушевская санаторная школа-интернат</t>
  </si>
  <si>
    <t>Итого:</t>
  </si>
  <si>
    <t>Из них приняло участие во II этапе</t>
  </si>
  <si>
    <t>БЕЛ.ЯЗ.</t>
  </si>
  <si>
    <t>РУС.ЯЗ.</t>
  </si>
  <si>
    <t>АНГЛ.ЯЗ.</t>
  </si>
  <si>
    <t>НЕМ.ЯЗ.</t>
  </si>
  <si>
    <t>МАТЕМАТ</t>
  </si>
  <si>
    <t>ИНФОРМ.</t>
  </si>
  <si>
    <t>ИСТОРИЯ</t>
  </si>
  <si>
    <t>ОБЩЕСТВ</t>
  </si>
  <si>
    <t>ГЕОГРАФ.</t>
  </si>
  <si>
    <t>Мощенская ДССШ</t>
  </si>
  <si>
    <t>Студенковская ДССШ</t>
  </si>
  <si>
    <t>Всего</t>
  </si>
  <si>
    <t>Всего уч-ся 8-11 кл</t>
  </si>
  <si>
    <t xml:space="preserve">% побе
дите
лей
</t>
  </si>
  <si>
    <t>В разрезе предметов (кол-во дипломов I, II и III степени) 9-11 класс</t>
  </si>
  <si>
    <t>БИОЛОГ</t>
  </si>
  <si>
    <t>ФИЗИКА</t>
  </si>
  <si>
    <t>АСТРОН.</t>
  </si>
  <si>
    <t>ХИМИЯ</t>
  </si>
  <si>
    <t>ТРУД</t>
  </si>
  <si>
    <t xml:space="preserve">Предмет </t>
  </si>
  <si>
    <t>Количество участников районного этапа</t>
  </si>
  <si>
    <t>Кол-во победи-телей</t>
  </si>
  <si>
    <t>Результативность участия (%)</t>
  </si>
  <si>
    <t>Диплом 1-ой степени</t>
  </si>
  <si>
    <t>Диплом 2-ой степени</t>
  </si>
  <si>
    <t>Диплом 3-ой степени</t>
  </si>
  <si>
    <t>Похвальный лист</t>
  </si>
  <si>
    <t>Русский язык и литература</t>
  </si>
  <si>
    <t>Белорусский язык и литература</t>
  </si>
  <si>
    <t>Иностранный язык (англ, нем)</t>
  </si>
  <si>
    <t>Математика</t>
  </si>
  <si>
    <t xml:space="preserve">Физика </t>
  </si>
  <si>
    <t xml:space="preserve">Информатика </t>
  </si>
  <si>
    <t xml:space="preserve">Астрономия </t>
  </si>
  <si>
    <t xml:space="preserve">Биология </t>
  </si>
  <si>
    <t>Химия</t>
  </si>
  <si>
    <t xml:space="preserve">География </t>
  </si>
  <si>
    <t xml:space="preserve">История </t>
  </si>
  <si>
    <t xml:space="preserve">Обществоведение </t>
  </si>
  <si>
    <t>Трудовое обучение</t>
  </si>
  <si>
    <t>Всего: 9 (8) -11 класс</t>
  </si>
  <si>
    <t>Кол-во победителей 8 класса</t>
  </si>
  <si>
    <t>Кол-во победителей 9 класса</t>
  </si>
  <si>
    <t>Кол-во победителей 10 класса</t>
  </si>
  <si>
    <t>Кол-во победителей 11 класса</t>
  </si>
  <si>
    <t>Всего участников</t>
  </si>
  <si>
    <t>% Результативность участия</t>
  </si>
  <si>
    <t>Пархоменко Диана Алексеевна</t>
  </si>
  <si>
    <t>п.л.</t>
  </si>
  <si>
    <t>Ходыко Людмила Григорьевна</t>
  </si>
  <si>
    <t>Тереня Тамара Васильевна</t>
  </si>
  <si>
    <t>Колымаго Александр Александрович</t>
  </si>
  <si>
    <t>Мизавцова Елена Борисовна</t>
  </si>
  <si>
    <t>Володькина Алеся Павловна</t>
  </si>
  <si>
    <t>Авраменко Светлана Леонидовна</t>
  </si>
  <si>
    <t>Акулова Нина Егоровна</t>
  </si>
  <si>
    <t>Ивашков Дмитрий Александрович</t>
  </si>
  <si>
    <t>Козлова Светлана Ивановна</t>
  </si>
  <si>
    <t>Осипова Арина Дмитриевна</t>
  </si>
  <si>
    <t>Земиров Родион Николаевич</t>
  </si>
  <si>
    <t>Гордюк Вероника Александровна</t>
  </si>
  <si>
    <t>Шидловский Роман Юрьевич</t>
  </si>
  <si>
    <t>Вакар Алина Сергеевна</t>
  </si>
  <si>
    <t>Капранова Онега Аркадьевна</t>
  </si>
  <si>
    <t>Зелентов Станислав Иванович</t>
  </si>
  <si>
    <t>Высоцкий Павел Александрович</t>
  </si>
  <si>
    <t>Чунаева Светлана Владимировна</t>
  </si>
  <si>
    <t>Александрович Оксана Александровна</t>
  </si>
  <si>
    <t>Гречихо Галина Анатольевна</t>
  </si>
  <si>
    <t>Погорельская Светлана Ивановна</t>
  </si>
  <si>
    <t>Горенькова Елена Ивановна</t>
  </si>
  <si>
    <t>история</t>
  </si>
  <si>
    <t>Яблокова Татьяна Казимировна</t>
  </si>
  <si>
    <t>Побылица Антон Александрович</t>
  </si>
  <si>
    <t>Кучинская Елена Алексеевна</t>
  </si>
  <si>
    <t>Ларченков Василий Васильевич</t>
  </si>
  <si>
    <t>Барышкова Тамара Николаевна</t>
  </si>
  <si>
    <t>математика</t>
  </si>
  <si>
    <t>Командышко Елена Николаевна</t>
  </si>
  <si>
    <t>Прихожая Наталья Викторовна</t>
  </si>
  <si>
    <t>Метелица Наталья Николаевна</t>
  </si>
  <si>
    <t>Пядочкина Вера Александровна</t>
  </si>
  <si>
    <t>Квинто Вера Александровна</t>
  </si>
  <si>
    <t>Степанец Мария Петровна</t>
  </si>
  <si>
    <t>Зенькина Галина Михайловна</t>
  </si>
  <si>
    <t>Данченко Валентина Александровна</t>
  </si>
  <si>
    <t>Яновская ДСБШ</t>
  </si>
  <si>
    <t>Биология</t>
  </si>
  <si>
    <t xml:space="preserve">Количество дипломов
</t>
  </si>
  <si>
    <t xml:space="preserve">Стали победителями
(всего)
</t>
  </si>
  <si>
    <t>Всего побед-лей</t>
  </si>
  <si>
    <t>Количество участников, неотмеченных дипл или п.л.</t>
  </si>
  <si>
    <t>Участники, показавшие нерезультативное выступление</t>
  </si>
  <si>
    <t>Участники</t>
  </si>
  <si>
    <t>Лабзов Сергей Васильевич</t>
  </si>
  <si>
    <t>Пчелинцева Лариса Ивановна</t>
  </si>
  <si>
    <t>Лосенкова Анастасия Александровна</t>
  </si>
  <si>
    <t>Старомужева Екатерина Александровна</t>
  </si>
  <si>
    <t>Замостинович Светлана Юрьевна</t>
  </si>
  <si>
    <t>Кох Александр Андреевич</t>
  </si>
  <si>
    <t>Кальнин Алексей Николаевич</t>
  </si>
  <si>
    <t>Дунец Екатерина Владимировна</t>
  </si>
  <si>
    <t>Однорогая Ирина Васильевна</t>
  </si>
  <si>
    <t>Дубовец Глеб Васильевич</t>
  </si>
  <si>
    <t>Мысливец Кристина Владимировна</t>
  </si>
  <si>
    <t>Кузьминов Игорь Александрович</t>
  </si>
  <si>
    <t>Володькина Алена Андреевна</t>
  </si>
  <si>
    <t>Бакуш Каролина Александровна</t>
  </si>
  <si>
    <t>Бейнарович Виталий Романович</t>
  </si>
  <si>
    <t>Маргавцова Светлана Эдуардовна</t>
  </si>
  <si>
    <t>Игнатович Данила Юрьевич</t>
  </si>
  <si>
    <t>Берёзко Александра Владимировна</t>
  </si>
  <si>
    <t>Мефодиенко Мария Анатольевна</t>
  </si>
  <si>
    <t>Лесницкая Виктория Александровна</t>
  </si>
  <si>
    <t>Горовец Анастасия Александровна</t>
  </si>
  <si>
    <t>Ходцевская ДССШ</t>
  </si>
  <si>
    <t xml:space="preserve">Участие школьников 
во II (районном) этапе республиканской олимпиады (9 (8)-11 кл.) в 2017/2018 учебном году (В РАЗРЕЗЕ УЧЕБНЫХ ПРЕДМЕТОВ)
</t>
  </si>
  <si>
    <t>Барковец Диана Александровна</t>
  </si>
  <si>
    <t>Манкевич Павел Алексеевич</t>
  </si>
  <si>
    <t>Зинькович Ирина Витальевна</t>
  </si>
  <si>
    <t>география</t>
  </si>
  <si>
    <t>Канащенко Тамара Альбертовна</t>
  </si>
  <si>
    <t>Циновкина Мария Валерьевна</t>
  </si>
  <si>
    <t>Савлевич Наталья Николаевна</t>
  </si>
  <si>
    <t>физика</t>
  </si>
  <si>
    <t>Радкевич Николай Сергеевич</t>
  </si>
  <si>
    <t>Рябушко Екатерина Ивановна</t>
  </si>
  <si>
    <t>Ланина Людмила Васильевна</t>
  </si>
  <si>
    <t>Мурашкевич Кристина Дмитриевна</t>
  </si>
  <si>
    <t>Сапего Дарья Анатольевна</t>
  </si>
  <si>
    <t>бел.яз и лит.</t>
  </si>
  <si>
    <t>Василевская Валерия Владимировна</t>
  </si>
  <si>
    <t>обществоведение</t>
  </si>
  <si>
    <t>Бабарико Татьяна Михайловна</t>
  </si>
  <si>
    <t>нем.яз.</t>
  </si>
  <si>
    <t>Лисецкий Никита Николаевич</t>
  </si>
  <si>
    <t>Ананенко Юрий Сергеевич</t>
  </si>
  <si>
    <t>Храповицкая Светлана Анатольевна</t>
  </si>
  <si>
    <t>химия</t>
  </si>
  <si>
    <t>Мартинович Ольга Чеславовна</t>
  </si>
  <si>
    <t>Пиво Максим Михайлович</t>
  </si>
  <si>
    <t>информатика</t>
  </si>
  <si>
    <t>Павловский Степан  Сергеевич</t>
  </si>
  <si>
    <t>Павловский Игорь Константинович</t>
  </si>
  <si>
    <t>Бальчунас Елена Михайловна</t>
  </si>
  <si>
    <t>Гречин Михаил Андреевич</t>
  </si>
  <si>
    <t>Радкевич Никита Сергеевич</t>
  </si>
  <si>
    <t>астрономия</t>
  </si>
  <si>
    <t>Шульгина Наталья Андреевна</t>
  </si>
  <si>
    <t>Сиренко Назария Ивановна</t>
  </si>
  <si>
    <t>Каминская Юлия Дмитриевна</t>
  </si>
  <si>
    <t>Приставко Юлия Игоревна</t>
  </si>
  <si>
    <t>Иванова Карина Александровна</t>
  </si>
  <si>
    <t>Баранова Карина Наильевна</t>
  </si>
  <si>
    <t>Шидловская Ольга Петровна</t>
  </si>
  <si>
    <t>Китько Марина Анатольевна</t>
  </si>
  <si>
    <t>Подрез Татьяна Петровна</t>
  </si>
  <si>
    <t>Павловская Светлана Федоровна</t>
  </si>
  <si>
    <t>Харитонович Евгений Кириллович</t>
  </si>
  <si>
    <t>Погорельский Дмитрий Юрьевич</t>
  </si>
  <si>
    <t>Шлык Алексей Михайлович</t>
  </si>
  <si>
    <t>Шальнов Юрий Александрович</t>
  </si>
  <si>
    <t>Прусов Артур Иванович</t>
  </si>
  <si>
    <t>Ферфецкий Даниил Игоревич</t>
  </si>
  <si>
    <t>Дубовец Руслан Александрович</t>
  </si>
  <si>
    <t>Зайко Алексей Александрович</t>
  </si>
  <si>
    <t>Румо Сергей Леонидович</t>
  </si>
  <si>
    <t>Стрижнев Александр Петрович</t>
  </si>
  <si>
    <t>Кисляков Александр Аркадьевич</t>
  </si>
  <si>
    <t>Гринюк Игорь Павлович</t>
  </si>
  <si>
    <t>Кучко Юрий Николаевич</t>
  </si>
  <si>
    <t>Ковалевский Гордей Васильевич</t>
  </si>
  <si>
    <t>Английский язык</t>
  </si>
  <si>
    <t>Бинтяй Алина Васильевна</t>
  </si>
  <si>
    <t>Новакович Татьяна Александровна</t>
  </si>
  <si>
    <t>Султанова Виктория Максимовна</t>
  </si>
  <si>
    <t>Авсеенко Роман Сергеевич</t>
  </si>
  <si>
    <t>Стук Арина Эгидиюсовна</t>
  </si>
  <si>
    <t xml:space="preserve">Курс Карина Сергеевна </t>
  </si>
  <si>
    <t>Минченко Ксения Александровна</t>
  </si>
  <si>
    <t>Лапехо Анна Михайловна</t>
  </si>
  <si>
    <t>Ерёменко Светлана Александровна</t>
  </si>
  <si>
    <t>Прокопович Татьяна Васильевна</t>
  </si>
  <si>
    <t>Шелухо Карина Александровна</t>
  </si>
  <si>
    <t>Шинкевич Глеб Владимирович</t>
  </si>
  <si>
    <t>Мизавцова елена Борисовна</t>
  </si>
  <si>
    <t>Бразгун Елизавета Евгеньевна</t>
  </si>
  <si>
    <t>Гончарова Елизавета Михайловна</t>
  </si>
  <si>
    <t>Буднова Камила Викторовна</t>
  </si>
  <si>
    <t>Подалинская Надежда Васильевна</t>
  </si>
  <si>
    <t>Однорогая Вероника Александровна</t>
  </si>
  <si>
    <t>Пахамович Дарья Владимировна</t>
  </si>
  <si>
    <t>Кузнецова Александра Эдуардовна</t>
  </si>
  <si>
    <t>Поздняков Станислав Сергеевич</t>
  </si>
  <si>
    <t>Шелухо Каролина Витальевна</t>
  </si>
  <si>
    <t xml:space="preserve">Иванова Дарья Дмитриевна </t>
  </si>
  <si>
    <t xml:space="preserve">Миронова Дарья Сергеевна </t>
  </si>
  <si>
    <t>Ананенко Даниил Юрьевич</t>
  </si>
  <si>
    <t>Стук Рамана Эгидиюсовна</t>
  </si>
  <si>
    <t xml:space="preserve">Шпигун Елизавета Сергеевна </t>
  </si>
  <si>
    <t>Маяк Анастасия Дмитриевна</t>
  </si>
  <si>
    <t>Качановская Татьяна Владимировна</t>
  </si>
  <si>
    <t>Юнчик Яна Николаевна</t>
  </si>
  <si>
    <t>Гарючко Валерия Александровна</t>
  </si>
  <si>
    <t>Маковская Яна Константиновна</t>
  </si>
  <si>
    <t>Новикова Дана Николаевна</t>
  </si>
  <si>
    <t>Шек Дарья Владимировна</t>
  </si>
  <si>
    <t>Старченко Анастасия Александровна</t>
  </si>
  <si>
    <t>Осипова Валентина Васильевна</t>
  </si>
  <si>
    <t>Козлова Вероника Васильевна</t>
  </si>
  <si>
    <t>Бровко Светлана Геннадьевна</t>
  </si>
  <si>
    <t>Устинович Алевтина Владимировна</t>
  </si>
  <si>
    <t>Медведская Ольга Васильевна</t>
  </si>
  <si>
    <t>Садовченко Анна Олеговна</t>
  </si>
  <si>
    <t>Измайлович Дарина Александровна</t>
  </si>
  <si>
    <t>Нестерёнок Анастасия Ивановна</t>
  </si>
  <si>
    <t>Долгая Арина Дмитриевна</t>
  </si>
  <si>
    <t>физкультура</t>
  </si>
  <si>
    <t>Физическая культура и здоровье</t>
  </si>
  <si>
    <t>ФИЗКУЛЬТУРА</t>
  </si>
  <si>
    <t xml:space="preserve">Богушевская СШ </t>
  </si>
  <si>
    <t>Богушевская СШ</t>
  </si>
  <si>
    <t>Шаркович Екатерина Фёдоровна</t>
  </si>
  <si>
    <t>Абушкевич Алексей Александрович</t>
  </si>
  <si>
    <t>Кособуцкий Григорий Михайлович</t>
  </si>
  <si>
    <t>Мефодиенко Екатерина Валерьевна</t>
  </si>
  <si>
    <t xml:space="preserve">Гайдуков Владислав Сергеевич </t>
  </si>
  <si>
    <t>Железняк ихаилРусланович</t>
  </si>
  <si>
    <t>Мандрик Тимофей Владимирович</t>
  </si>
  <si>
    <t>Подалинская Полина Васильевна</t>
  </si>
  <si>
    <t>Березин Егор Васильевич</t>
  </si>
  <si>
    <t>Ивлиева Ангелина Сергеевна</t>
  </si>
  <si>
    <t>Маханьков Егор Николаевич</t>
  </si>
  <si>
    <t>Поляшкевич Ольга Николаевна</t>
  </si>
  <si>
    <t>Сипович Алина  Сергеевна</t>
  </si>
  <si>
    <t>Коголь Кирилл Викторович</t>
  </si>
  <si>
    <t>Дегалевич Валерия Алексеевна</t>
  </si>
  <si>
    <t>Стрельский Владимир Иванович</t>
  </si>
  <si>
    <t>физическая культура и здоровье</t>
  </si>
  <si>
    <t>Шибеко Никита Валерьевич</t>
  </si>
  <si>
    <t>Прокопович Наталья Васильевна</t>
  </si>
  <si>
    <t xml:space="preserve">Петакович Илья Викторович </t>
  </si>
  <si>
    <t>Соколовский Игорь Алексеевич</t>
  </si>
  <si>
    <t>Шапрунова Елена Сергеевна</t>
  </si>
  <si>
    <t>Силивестров Илья Александрович</t>
  </si>
  <si>
    <r>
      <t xml:space="preserve"> </t>
    </r>
    <r>
      <rPr>
        <sz val="12"/>
        <color theme="1"/>
        <rFont val="Times New Roman"/>
        <family val="1"/>
        <charset val="204"/>
      </rPr>
      <t>Мефодиенко Мария Анатольевна</t>
    </r>
  </si>
  <si>
    <r>
      <t xml:space="preserve"> </t>
    </r>
    <r>
      <rPr>
        <sz val="12"/>
        <color theme="1"/>
        <rFont val="Times New Roman"/>
        <family val="1"/>
        <charset val="204"/>
      </rPr>
      <t>Тереня Тамара Васильевна</t>
    </r>
  </si>
  <si>
    <t>Курс Карина Сергеевна</t>
  </si>
  <si>
    <t>Лазарь Вероника Викторовна</t>
  </si>
  <si>
    <t>Ляднович Илья Александрович</t>
  </si>
  <si>
    <t>Кибис Александр Николаевич</t>
  </si>
  <si>
    <t>Попкова Елизавета Андреевна</t>
  </si>
  <si>
    <t>Соловьев Андрей Тимофеевич</t>
  </si>
  <si>
    <t xml:space="preserve">Цаприлова Дарина Александровна </t>
  </si>
  <si>
    <t>Януков Максим Юрьевич</t>
  </si>
  <si>
    <t>Вологина Анна Владимировна</t>
  </si>
  <si>
    <t>Юкович Иван Викторович</t>
  </si>
  <si>
    <t>Левко Елена Леонидовна</t>
  </si>
  <si>
    <t>Павловская Юлия Николаевна</t>
  </si>
  <si>
    <t>Кузнецова Екатерина Витальевна</t>
  </si>
  <si>
    <t>Афанасьева Екатерина Евгеньевна</t>
  </si>
  <si>
    <t>Горбачёва Александра Валентиновна</t>
  </si>
  <si>
    <t>Ланденок Юлия Алексеевна</t>
  </si>
  <si>
    <t>Дроздовский Андрей Владимирович</t>
  </si>
  <si>
    <t xml:space="preserve">Жерносеченко Янина Алексеевна </t>
  </si>
  <si>
    <t>Чепиков Пётр Дмитриевич</t>
  </si>
  <si>
    <t>Ковальков Алексей Михайлович</t>
  </si>
  <si>
    <t>Рыбченко Анатолий Фёдорович</t>
  </si>
  <si>
    <t>Ломоносов Данила Дмитриевич</t>
  </si>
  <si>
    <t xml:space="preserve">Березин Егор Васильевич </t>
  </si>
  <si>
    <t xml:space="preserve">Мушинский Никита Александрович </t>
  </si>
  <si>
    <t>Грунтов Станислав Андреевич</t>
  </si>
  <si>
    <t>Гордецкий Александр Николаевич</t>
  </si>
  <si>
    <t>Шатовицкий Дмитрий Александрович</t>
  </si>
  <si>
    <t>Сачнев Иван Павлович</t>
  </si>
  <si>
    <t>Шатько Павел Александрович</t>
  </si>
  <si>
    <t>Михалёнок Георгий Евгеньевич</t>
  </si>
  <si>
    <t>Казенков Даниил Викторович</t>
  </si>
  <si>
    <t>Столяренко Антон Вадимович</t>
  </si>
  <si>
    <t>Киселёв Евгений Иванович</t>
  </si>
  <si>
    <t>Махров Алексей Игоревич</t>
  </si>
  <si>
    <t>Ледник Кирилл Витальевич</t>
  </si>
  <si>
    <t>Баканов Даниил Александрович</t>
  </si>
  <si>
    <t>Дуткевичус Николай Дмитриевич</t>
  </si>
  <si>
    <t xml:space="preserve">Коклихин Владислав Витальевич </t>
  </si>
  <si>
    <t>Шубко Андрей Юрьевич</t>
  </si>
  <si>
    <t>Зайцев Руслан Вадимович</t>
  </si>
  <si>
    <t>Афонасьев Денис Викторович</t>
  </si>
  <si>
    <t xml:space="preserve">Лазарчук Станислав Александрович </t>
  </si>
  <si>
    <t>Морозов Илья Александрович</t>
  </si>
  <si>
    <t>Лапиков Илья Сергеевич</t>
  </si>
  <si>
    <t>Арестов Дмитрий Николаевич</t>
  </si>
  <si>
    <t>Однорогий Илья Николаевич</t>
  </si>
  <si>
    <t>Акулёнок Юрий Николаевич</t>
  </si>
  <si>
    <t>Миронович Владимир Алексеевич</t>
  </si>
  <si>
    <t xml:space="preserve">Старомужева Екатерина Александровна </t>
  </si>
  <si>
    <t>Вадютина Екатерина Олеговна</t>
  </si>
  <si>
    <t>Сінкевіч Наталля Іванаўна</t>
  </si>
  <si>
    <t xml:space="preserve">Сінкевіч Наталля Іванаўна </t>
  </si>
  <si>
    <t>Красноўская Вольга Анатольеўна</t>
  </si>
  <si>
    <t xml:space="preserve">Красноўская Вольга Анатольеўна </t>
  </si>
  <si>
    <t>Сачнева Наталля Аляксандраўна</t>
  </si>
  <si>
    <t>Спрытула Галіна Мікалаеўна</t>
  </si>
  <si>
    <t xml:space="preserve"> Рацькова Ірына Пятроўна</t>
  </si>
  <si>
    <t>Лізберг Людміла Віктараўна</t>
  </si>
  <si>
    <t>Ермакова Ала Мікалаеўна</t>
  </si>
  <si>
    <t>Белікава Святлана Анатольеўна</t>
  </si>
  <si>
    <t>Гаранская Алена Анатолеўна</t>
  </si>
  <si>
    <t>Грунтоў  Сяргей Генадзевіч</t>
  </si>
  <si>
    <t>Дзядун Таццяна Чаславаўна</t>
  </si>
  <si>
    <t xml:space="preserve">Барадуліна Жанна Мікалаеўна </t>
  </si>
  <si>
    <t>Боровик Анастисия Вадимовна</t>
  </si>
  <si>
    <t>Березко Александра Владимировна</t>
  </si>
  <si>
    <t>Лезненков Никита Андреевич</t>
  </si>
  <si>
    <t>Авференок Алексей Витальевич</t>
  </si>
  <si>
    <t>Голубцов Юрий Владимирович</t>
  </si>
  <si>
    <t>Беляцкий Александр Петрович</t>
  </si>
  <si>
    <t xml:space="preserve">Квашко Иван Владимирович </t>
  </si>
  <si>
    <t>Следнёва Алина Александровна</t>
  </si>
  <si>
    <t>Радкевич  Кристина Сергеевна</t>
  </si>
  <si>
    <t>Мурашевич Валерия Игоревна</t>
  </si>
  <si>
    <t>Зенькина Елизавета Михайловна</t>
  </si>
  <si>
    <t>Шибеко Мария Эдуардовна</t>
  </si>
  <si>
    <t>Зайцева Татьяна Олеговна</t>
  </si>
  <si>
    <t>Зайцева Юлия Анатольевна</t>
  </si>
  <si>
    <t>Халецкая Яна Евгеньевна</t>
  </si>
  <si>
    <t>Однорогая Вера Васильевна</t>
  </si>
  <si>
    <t>Карпова Ольга Алексеевна</t>
  </si>
  <si>
    <t xml:space="preserve">Вакар Алина Сергеевна </t>
  </si>
  <si>
    <t>Беляев Данила Андреевич</t>
  </si>
  <si>
    <t>Скиба Наталья Станиславовна</t>
  </si>
  <si>
    <t>Шуликов Владимир Владимирович</t>
  </si>
  <si>
    <t>Ермакова Татьяна Леонидовна</t>
  </si>
  <si>
    <t>Подолинская Наталья Николаевна</t>
  </si>
  <si>
    <t>Коваленкова Кристина Олеговна</t>
  </si>
  <si>
    <t>Лысенко Анастасия Григорьевна</t>
  </si>
  <si>
    <t>Афанасьева Елена Александровна</t>
  </si>
  <si>
    <t>Прокопенко Анастасия Юрьевна</t>
  </si>
  <si>
    <t>Миранович Дмитрий Александрович</t>
  </si>
  <si>
    <t>Козлова Людмила Викторовна</t>
  </si>
  <si>
    <t>Чунаева Юлия Владимировна</t>
  </si>
  <si>
    <t>Кислякова Илона Александровна</t>
  </si>
  <si>
    <t>Мефодиенко Елена Леонидовна</t>
  </si>
  <si>
    <t>Полоник Екатерина Леонидовна</t>
  </si>
  <si>
    <t>Супрунюк Алина Владимировна</t>
  </si>
  <si>
    <t>Ивашко Валентина Арсентьевна</t>
  </si>
  <si>
    <t>Шлепетис Виктория Владимировна</t>
  </si>
  <si>
    <t>Писарик Екатерина Николаевна</t>
  </si>
  <si>
    <t>Тереня Елена Михайловна</t>
  </si>
  <si>
    <t>Саркисова Дарья Багратовна</t>
  </si>
  <si>
    <t>Дубинина Анастасия Дмитриевна</t>
  </si>
  <si>
    <t>Кораневская Татьяна Павловна</t>
  </si>
  <si>
    <t>Шевченко Татьяна Владимировна</t>
  </si>
  <si>
    <t>Становая Вероника Валерьевна</t>
  </si>
  <si>
    <t>Хаританович Евгений Кириллович</t>
  </si>
  <si>
    <t>Руклянский Павел Юрьевич</t>
  </si>
  <si>
    <t>Данилевич Илья Павлович</t>
  </si>
  <si>
    <t>Рябцев Антон Сергеевич</t>
  </si>
  <si>
    <t>Сарахин Владислав Викторович</t>
  </si>
  <si>
    <t>Кацер Антон Александрович</t>
  </si>
  <si>
    <t>Бровко Сергей Васильевич</t>
  </si>
  <si>
    <t>Однорогий Александр Васильевич</t>
  </si>
  <si>
    <t>Рубанов Сергей Анатольевич</t>
  </si>
  <si>
    <t>Олешкевич Артем Павлович</t>
  </si>
  <si>
    <t xml:space="preserve">Предварительная Результативность участия учреждений общего среднего образования
во II (районном) этапе республиканской олимпиады в 2018/2019 уч.г.
(качество дипломов)
</t>
  </si>
  <si>
    <t xml:space="preserve">Результативность участия учреждений общего среднего образования
во II (районном) этапе республиканской олимпиады (9 (8)-11 кл.) в 2018/2019 учебном году (В РАЗРЕЗЕ УЧЕБНЫХ ПРЕДМЕТОВ)
</t>
  </si>
  <si>
    <t xml:space="preserve">Награждение по итогам II (районного) этапа республиканской олимпиады (9 (8) -11 кл.) в 2018/2019 учебном году
(в разрезе учебных предметов)
</t>
  </si>
  <si>
    <t xml:space="preserve">Награждение похвальными листами
по итогам II (районного) этапа республиканской олимпиады (9 (8) -11 кл.) в 2018/2019 учебном году
(в разрезе учебных предметов)
</t>
  </si>
  <si>
    <t xml:space="preserve">Участие школьников 
во II (районном) этапе республиканской олимпиады (9 (8)-11 кл.) в 2018/2019 учебном году (В РАЗРЕЗЕ УЧЕБНЫХ ПРЕДМЕТОВ)
</t>
  </si>
  <si>
    <t xml:space="preserve">Сенненский район
2018/2019 уч.г.
Наименование учреждений образования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</si>
</sst>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mbria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2" borderId="2" applyNumberFormat="0" applyFont="0" applyAlignment="0" applyProtection="0"/>
    <xf numFmtId="9" fontId="6" fillId="0" borderId="0" applyFont="0" applyFill="0" applyBorder="0" applyAlignment="0" applyProtection="0"/>
  </cellStyleXfs>
  <cellXfs count="271">
    <xf numFmtId="0" fontId="0" fillId="0" borderId="0" xfId="0"/>
    <xf numFmtId="0" fontId="4" fillId="0" borderId="0" xfId="0" applyFont="1" applyBorder="1" applyAlignment="1">
      <alignment vertical="top" wrapText="1"/>
    </xf>
    <xf numFmtId="1" fontId="0" fillId="0" borderId="0" xfId="0" applyNumberFormat="1" applyFill="1"/>
    <xf numFmtId="0" fontId="0" fillId="0" borderId="0" xfId="0" applyFill="1"/>
    <xf numFmtId="0" fontId="4" fillId="0" borderId="0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left" vertical="center"/>
    </xf>
    <xf numFmtId="2" fontId="5" fillId="0" borderId="1" xfId="1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11" fillId="15" borderId="1" xfId="0" applyNumberFormat="1" applyFont="1" applyFill="1" applyBorder="1" applyAlignment="1">
      <alignment horizontal="center" vertical="center" wrapText="1"/>
    </xf>
    <xf numFmtId="1" fontId="11" fillId="12" borderId="1" xfId="0" applyNumberFormat="1" applyFont="1" applyFill="1" applyBorder="1" applyAlignment="1">
      <alignment horizontal="center" vertical="center" wrapText="1"/>
    </xf>
    <xf numFmtId="1" fontId="11" fillId="16" borderId="1" xfId="0" applyNumberFormat="1" applyFont="1" applyFill="1" applyBorder="1" applyAlignment="1">
      <alignment horizontal="center" vertical="center" wrapText="1"/>
    </xf>
    <xf numFmtId="1" fontId="11" fillId="13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" fontId="11" fillId="14" borderId="1" xfId="0" applyNumberFormat="1" applyFont="1" applyFill="1" applyBorder="1" applyAlignment="1">
      <alignment horizontal="center" vertical="center" wrapText="1"/>
    </xf>
    <xf numFmtId="1" fontId="11" fillId="18" borderId="1" xfId="0" applyNumberFormat="1" applyFont="1" applyFill="1" applyBorder="1" applyAlignment="1">
      <alignment horizontal="center" vertical="center" wrapText="1"/>
    </xf>
    <xf numFmtId="1" fontId="11" fillId="10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11" fillId="11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center" vertical="center"/>
    </xf>
    <xf numFmtId="1" fontId="0" fillId="0" borderId="0" xfId="0" applyNumberFormat="1"/>
    <xf numFmtId="0" fontId="5" fillId="0" borderId="1" xfId="1" applyFont="1" applyFill="1" applyBorder="1" applyAlignment="1">
      <alignment horizontal="left" vertical="center" wrapText="1"/>
    </xf>
    <xf numFmtId="1" fontId="15" fillId="0" borderId="1" xfId="0" applyNumberFormat="1" applyFont="1" applyFill="1" applyBorder="1"/>
    <xf numFmtId="0" fontId="18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" fontId="19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64" fontId="5" fillId="16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3" fillId="0" borderId="1" xfId="2" applyNumberFormat="1" applyFont="1" applyFill="1" applyBorder="1" applyAlignment="1">
      <alignment horizontal="center" vertical="center"/>
    </xf>
    <xf numFmtId="164" fontId="1" fillId="0" borderId="1" xfId="2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1" fontId="11" fillId="19" borderId="1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5" fillId="18" borderId="1" xfId="1" applyFont="1" applyFill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/>
    </xf>
    <xf numFmtId="0" fontId="5" fillId="21" borderId="1" xfId="1" applyFont="1" applyFill="1" applyBorder="1" applyAlignment="1">
      <alignment horizontal="center" vertical="center"/>
    </xf>
    <xf numFmtId="0" fontId="4" fillId="19" borderId="1" xfId="1" applyFont="1" applyFill="1" applyBorder="1" applyAlignment="1">
      <alignment horizontal="center" vertical="center"/>
    </xf>
    <xf numFmtId="0" fontId="5" fillId="19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/>
    </xf>
    <xf numFmtId="1" fontId="15" fillId="11" borderId="1" xfId="0" applyNumberFormat="1" applyFont="1" applyFill="1" applyBorder="1"/>
    <xf numFmtId="1" fontId="3" fillId="17" borderId="1" xfId="0" applyNumberFormat="1" applyFont="1" applyFill="1" applyBorder="1" applyAlignment="1">
      <alignment horizontal="center" vertical="center"/>
    </xf>
    <xf numFmtId="0" fontId="8" fillId="21" borderId="9" xfId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7" borderId="1" xfId="2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2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7" borderId="1" xfId="0" applyFont="1" applyFill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1" fontId="5" fillId="0" borderId="1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top" wrapText="1"/>
    </xf>
    <xf numFmtId="1" fontId="5" fillId="0" borderId="9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vertical="top" wrapText="1"/>
    </xf>
    <xf numFmtId="0" fontId="17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top"/>
    </xf>
    <xf numFmtId="2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28" borderId="1" xfId="0" applyFont="1" applyFill="1" applyBorder="1" applyAlignment="1">
      <alignment vertical="top"/>
    </xf>
    <xf numFmtId="164" fontId="14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9" fillId="16" borderId="1" xfId="0" applyFont="1" applyFill="1" applyBorder="1" applyAlignment="1">
      <alignment horizontal="center" vertical="center" wrapText="1"/>
    </xf>
    <xf numFmtId="1" fontId="15" fillId="23" borderId="1" xfId="0" applyNumberFormat="1" applyFont="1" applyFill="1" applyBorder="1"/>
    <xf numFmtId="1" fontId="5" fillId="0" borderId="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0" fontId="14" fillId="0" borderId="1" xfId="2" applyNumberFormat="1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" fillId="25" borderId="1" xfId="0" applyFont="1" applyFill="1" applyBorder="1" applyAlignment="1">
      <alignment vertical="top"/>
    </xf>
    <xf numFmtId="9" fontId="5" fillId="0" borderId="1" xfId="2" applyFont="1" applyBorder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4" fillId="18" borderId="1" xfId="1" applyFont="1" applyFill="1" applyBorder="1" applyAlignment="1">
      <alignment horizontal="center" vertical="center" wrapText="1"/>
    </xf>
    <xf numFmtId="0" fontId="0" fillId="18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14" borderId="1" xfId="1" applyFont="1" applyFill="1" applyBorder="1" applyAlignment="1">
      <alignment horizontal="center" vertical="center" wrapText="1"/>
    </xf>
    <xf numFmtId="0" fontId="0" fillId="14" borderId="1" xfId="1" applyFont="1" applyFill="1" applyBorder="1" applyAlignment="1">
      <alignment wrapText="1"/>
    </xf>
    <xf numFmtId="0" fontId="3" fillId="26" borderId="1" xfId="0" applyFont="1" applyFill="1" applyBorder="1" applyAlignment="1">
      <alignment horizontal="center" vertical="center" textRotation="90"/>
    </xf>
    <xf numFmtId="0" fontId="8" fillId="6" borderId="9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5" borderId="9" xfId="0" applyFont="1" applyFill="1" applyBorder="1" applyAlignment="1">
      <alignment horizontal="center" vertical="center" textRotation="90" wrapText="1"/>
    </xf>
    <xf numFmtId="0" fontId="8" fillId="5" borderId="10" xfId="0" applyFont="1" applyFill="1" applyBorder="1" applyAlignment="1">
      <alignment horizontal="center" vertical="center" textRotation="90" wrapText="1"/>
    </xf>
    <xf numFmtId="0" fontId="3" fillId="20" borderId="9" xfId="0" applyFont="1" applyFill="1" applyBorder="1" applyAlignment="1">
      <alignment horizontal="center" vertical="center" textRotation="90"/>
    </xf>
    <xf numFmtId="0" fontId="3" fillId="20" borderId="10" xfId="0" applyFont="1" applyFill="1" applyBorder="1" applyAlignment="1">
      <alignment horizontal="center" vertical="center" textRotation="90"/>
    </xf>
    <xf numFmtId="0" fontId="8" fillId="7" borderId="9" xfId="0" applyFont="1" applyFill="1" applyBorder="1" applyAlignment="1">
      <alignment horizontal="center" vertical="center" textRotation="90" wrapText="1"/>
    </xf>
    <xf numFmtId="0" fontId="8" fillId="7" borderId="10" xfId="0" applyFont="1" applyFill="1" applyBorder="1" applyAlignment="1">
      <alignment horizontal="center" vertical="center" textRotation="90" wrapText="1"/>
    </xf>
    <xf numFmtId="0" fontId="8" fillId="18" borderId="9" xfId="0" applyFont="1" applyFill="1" applyBorder="1" applyAlignment="1">
      <alignment horizontal="center" vertical="center" textRotation="90" wrapText="1"/>
    </xf>
    <xf numFmtId="0" fontId="8" fillId="18" borderId="10" xfId="0" applyFont="1" applyFill="1" applyBorder="1" applyAlignment="1">
      <alignment horizontal="center" vertical="center" textRotation="90" wrapText="1"/>
    </xf>
    <xf numFmtId="0" fontId="8" fillId="10" borderId="9" xfId="0" applyFont="1" applyFill="1" applyBorder="1" applyAlignment="1">
      <alignment horizontal="center" vertical="center" textRotation="90" wrapText="1"/>
    </xf>
    <xf numFmtId="0" fontId="8" fillId="10" borderId="10" xfId="0" applyFont="1" applyFill="1" applyBorder="1" applyAlignment="1">
      <alignment horizontal="center" vertical="center" textRotation="90" wrapText="1"/>
    </xf>
    <xf numFmtId="0" fontId="8" fillId="14" borderId="9" xfId="0" applyFont="1" applyFill="1" applyBorder="1" applyAlignment="1">
      <alignment horizontal="center" vertical="center" textRotation="90" wrapText="1"/>
    </xf>
    <xf numFmtId="0" fontId="8" fillId="14" borderId="10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0" fontId="8" fillId="16" borderId="9" xfId="0" applyFont="1" applyFill="1" applyBorder="1" applyAlignment="1">
      <alignment horizontal="center" vertical="center" textRotation="90" wrapText="1"/>
    </xf>
    <xf numFmtId="0" fontId="8" fillId="16" borderId="10" xfId="0" applyFont="1" applyFill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textRotation="90" wrapText="1"/>
    </xf>
    <xf numFmtId="0" fontId="8" fillId="15" borderId="10" xfId="0" applyFont="1" applyFill="1" applyBorder="1" applyAlignment="1">
      <alignment horizontal="center" vertical="center" textRotation="90" wrapText="1"/>
    </xf>
    <xf numFmtId="0" fontId="8" fillId="12" borderId="9" xfId="0" applyFont="1" applyFill="1" applyBorder="1" applyAlignment="1">
      <alignment horizontal="center" vertical="center" textRotation="90" wrapText="1"/>
    </xf>
    <xf numFmtId="0" fontId="8" fillId="12" borderId="10" xfId="0" applyFont="1" applyFill="1" applyBorder="1" applyAlignment="1">
      <alignment horizontal="center" vertical="center" textRotation="90" wrapText="1"/>
    </xf>
    <xf numFmtId="0" fontId="8" fillId="20" borderId="9" xfId="0" applyFont="1" applyFill="1" applyBorder="1" applyAlignment="1">
      <alignment horizontal="center" vertical="center" textRotation="90" wrapText="1"/>
    </xf>
    <xf numFmtId="0" fontId="8" fillId="20" borderId="10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26" borderId="9" xfId="0" applyFont="1" applyFill="1" applyBorder="1" applyAlignment="1">
      <alignment horizontal="center" vertical="center" textRotation="90"/>
    </xf>
    <xf numFmtId="0" fontId="3" fillId="26" borderId="10" xfId="0" applyFont="1" applyFill="1" applyBorder="1" applyAlignment="1">
      <alignment horizontal="center" vertical="center" textRotation="90"/>
    </xf>
    <xf numFmtId="0" fontId="3" fillId="11" borderId="9" xfId="0" applyFont="1" applyFill="1" applyBorder="1" applyAlignment="1">
      <alignment horizontal="center" vertical="center" textRotation="90"/>
    </xf>
    <xf numFmtId="0" fontId="3" fillId="11" borderId="10" xfId="0" applyFont="1" applyFill="1" applyBorder="1" applyAlignment="1">
      <alignment horizontal="center" vertical="center" textRotation="90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8" fillId="13" borderId="9" xfId="0" applyFont="1" applyFill="1" applyBorder="1" applyAlignment="1">
      <alignment horizontal="center" vertical="center" textRotation="90" wrapText="1"/>
    </xf>
    <xf numFmtId="0" fontId="8" fillId="13" borderId="10" xfId="0" applyFont="1" applyFill="1" applyBorder="1" applyAlignment="1">
      <alignment horizontal="center" vertical="center" textRotation="90" wrapText="1"/>
    </xf>
    <xf numFmtId="0" fontId="3" fillId="26" borderId="13" xfId="0" applyFont="1" applyFill="1" applyBorder="1" applyAlignment="1">
      <alignment horizontal="center" vertical="center" textRotation="90"/>
    </xf>
    <xf numFmtId="0" fontId="3" fillId="11" borderId="1" xfId="0" applyFont="1" applyFill="1" applyBorder="1" applyAlignment="1">
      <alignment horizontal="center" vertical="center" textRotation="90"/>
    </xf>
    <xf numFmtId="0" fontId="8" fillId="12" borderId="1" xfId="0" applyFont="1" applyFill="1" applyBorder="1" applyAlignment="1">
      <alignment horizontal="center" vertical="center" textRotation="90" wrapText="1"/>
    </xf>
    <xf numFmtId="0" fontId="8" fillId="16" borderId="1" xfId="0" applyFont="1" applyFill="1" applyBorder="1" applyAlignment="1">
      <alignment horizontal="center" vertical="center" textRotation="90" wrapText="1"/>
    </xf>
    <xf numFmtId="0" fontId="8" fillId="13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8" fillId="14" borderId="1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8" fillId="10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8" fillId="18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2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textRotation="90" wrapText="1"/>
    </xf>
    <xf numFmtId="0" fontId="8" fillId="4" borderId="13" xfId="0" applyFont="1" applyFill="1" applyBorder="1" applyAlignment="1">
      <alignment horizontal="center" vertical="center" textRotation="90" wrapText="1"/>
    </xf>
    <xf numFmtId="0" fontId="8" fillId="4" borderId="10" xfId="0" applyFont="1" applyFill="1" applyBorder="1" applyAlignment="1">
      <alignment horizontal="center" vertical="center" textRotation="90" wrapText="1"/>
    </xf>
    <xf numFmtId="0" fontId="16" fillId="19" borderId="9" xfId="0" applyFont="1" applyFill="1" applyBorder="1" applyAlignment="1">
      <alignment horizontal="center" vertical="center" textRotation="90" wrapText="1"/>
    </xf>
    <xf numFmtId="0" fontId="16" fillId="19" borderId="13" xfId="0" applyFont="1" applyFill="1" applyBorder="1" applyAlignment="1">
      <alignment horizontal="center" vertical="center" textRotation="90" wrapText="1"/>
    </xf>
    <xf numFmtId="0" fontId="16" fillId="19" borderId="10" xfId="0" applyFont="1" applyFill="1" applyBorder="1" applyAlignment="1">
      <alignment horizontal="center" vertical="center" textRotation="90" wrapText="1"/>
    </xf>
    <xf numFmtId="0" fontId="8" fillId="15" borderId="1" xfId="0" applyFont="1" applyFill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textRotation="90" wrapText="1"/>
    </xf>
    <xf numFmtId="0" fontId="16" fillId="23" borderId="24" xfId="0" applyFont="1" applyFill="1" applyBorder="1" applyAlignment="1">
      <alignment horizontal="center" vertical="center" textRotation="90" wrapText="1"/>
    </xf>
    <xf numFmtId="0" fontId="16" fillId="23" borderId="13" xfId="0" applyFont="1" applyFill="1" applyBorder="1" applyAlignment="1">
      <alignment horizontal="center" vertical="center" textRotation="90" wrapText="1"/>
    </xf>
    <xf numFmtId="0" fontId="16" fillId="23" borderId="10" xfId="0" applyFont="1" applyFill="1" applyBorder="1" applyAlignment="1">
      <alignment horizontal="center" vertical="center" textRotation="90" wrapText="1"/>
    </xf>
    <xf numFmtId="0" fontId="16" fillId="11" borderId="13" xfId="0" applyFont="1" applyFill="1" applyBorder="1" applyAlignment="1">
      <alignment horizontal="center" vertical="center" textRotation="90" wrapText="1"/>
    </xf>
    <xf numFmtId="0" fontId="16" fillId="11" borderId="10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Примечание" xfId="1" builtinId="10"/>
    <cellStyle name="Процентный" xfId="2" builtinId="5"/>
  </cellStyles>
  <dxfs count="0"/>
  <tableStyles count="0" defaultTableStyle="TableStyleMedium9" defaultPivotStyle="PivotStyleLight16"/>
  <colors>
    <mruColors>
      <color rgb="FFFFFF99"/>
      <color rgb="FFFF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55"/>
  <sheetViews>
    <sheetView topLeftCell="C1" workbookViewId="0">
      <pane ySplit="1" topLeftCell="A2" activePane="bottomLeft" state="frozen"/>
      <selection pane="bottomLeft" activeCell="K1" sqref="K1"/>
    </sheetView>
  </sheetViews>
  <sheetFormatPr defaultRowHeight="15.75" x14ac:dyDescent="0.25"/>
  <cols>
    <col min="1" max="1" width="6.85546875" style="98" customWidth="1"/>
    <col min="2" max="2" width="23.85546875" style="44" customWidth="1"/>
    <col min="3" max="3" width="23.42578125" style="44" customWidth="1"/>
    <col min="4" max="4" width="25.42578125" style="44" customWidth="1"/>
    <col min="5" max="5" width="27.5703125" style="14" customWidth="1"/>
    <col min="6" max="6" width="4.28515625" style="98" customWidth="1"/>
    <col min="7" max="7" width="8" style="98" customWidth="1"/>
    <col min="8" max="8" width="14.140625" style="98" customWidth="1"/>
    <col min="9" max="9" width="11.85546875" style="98" customWidth="1"/>
    <col min="10" max="10" width="11.7109375" style="147" customWidth="1"/>
    <col min="11" max="16384" width="9.140625" style="44"/>
  </cols>
  <sheetData>
    <row r="1" spans="1:16" ht="63" x14ac:dyDescent="0.25">
      <c r="A1" s="121" t="s">
        <v>9</v>
      </c>
      <c r="B1" s="122" t="s">
        <v>0</v>
      </c>
      <c r="C1" s="122" t="s">
        <v>2</v>
      </c>
      <c r="D1" s="122" t="s">
        <v>1</v>
      </c>
      <c r="E1" s="110" t="s">
        <v>4</v>
      </c>
      <c r="F1" s="140" t="s">
        <v>8</v>
      </c>
      <c r="G1" s="123" t="s">
        <v>7</v>
      </c>
      <c r="H1" s="123" t="s">
        <v>5</v>
      </c>
      <c r="I1" s="124" t="s">
        <v>6</v>
      </c>
      <c r="J1" s="140" t="s">
        <v>3</v>
      </c>
      <c r="K1" s="83"/>
      <c r="L1" s="130"/>
      <c r="M1" s="130"/>
      <c r="N1" s="130"/>
      <c r="O1" s="130"/>
    </row>
    <row r="2" spans="1:16" s="83" customFormat="1" ht="33" hidden="1" customHeight="1" x14ac:dyDescent="0.25">
      <c r="A2" s="107">
        <v>1</v>
      </c>
      <c r="B2" s="107" t="s">
        <v>145</v>
      </c>
      <c r="C2" s="107" t="s">
        <v>363</v>
      </c>
      <c r="D2" s="53" t="s">
        <v>253</v>
      </c>
      <c r="E2" s="14" t="s">
        <v>204</v>
      </c>
      <c r="F2" s="98">
        <v>10</v>
      </c>
      <c r="G2" s="137">
        <v>170</v>
      </c>
      <c r="H2" s="96">
        <v>62.5</v>
      </c>
      <c r="I2" s="94">
        <f t="shared" ref="I2:I33" si="0">H2/G2</f>
        <v>0.36764705882352944</v>
      </c>
      <c r="J2" s="126"/>
      <c r="K2" s="150">
        <v>53</v>
      </c>
      <c r="M2" s="44"/>
      <c r="N2" s="44"/>
      <c r="O2" s="44"/>
      <c r="P2" s="44"/>
    </row>
    <row r="3" spans="1:16" s="83" customFormat="1" ht="33" hidden="1" customHeight="1" x14ac:dyDescent="0.25">
      <c r="A3" s="107">
        <v>2</v>
      </c>
      <c r="B3" s="108" t="s">
        <v>367</v>
      </c>
      <c r="C3" s="108" t="s">
        <v>363</v>
      </c>
      <c r="D3" s="53" t="s">
        <v>253</v>
      </c>
      <c r="E3" s="14" t="s">
        <v>204</v>
      </c>
      <c r="F3" s="98">
        <v>11</v>
      </c>
      <c r="G3" s="137">
        <v>170</v>
      </c>
      <c r="H3" s="96">
        <v>43</v>
      </c>
      <c r="I3" s="94">
        <f t="shared" si="0"/>
        <v>0.25294117647058822</v>
      </c>
      <c r="J3" s="126"/>
      <c r="K3" s="84"/>
      <c r="L3" s="84"/>
    </row>
    <row r="4" spans="1:16" s="83" customFormat="1" ht="33" hidden="1" customHeight="1" x14ac:dyDescent="0.25">
      <c r="A4" s="107">
        <v>3</v>
      </c>
      <c r="B4" s="107" t="s">
        <v>150</v>
      </c>
      <c r="C4" s="107" t="s">
        <v>362</v>
      </c>
      <c r="D4" s="120" t="s">
        <v>13</v>
      </c>
      <c r="E4" s="14" t="s">
        <v>204</v>
      </c>
      <c r="F4" s="98">
        <v>10</v>
      </c>
      <c r="G4" s="137">
        <v>170</v>
      </c>
      <c r="H4" s="96">
        <v>106.5</v>
      </c>
      <c r="I4" s="94">
        <f t="shared" si="0"/>
        <v>0.62647058823529411</v>
      </c>
      <c r="J4" s="96" t="s">
        <v>17</v>
      </c>
      <c r="M4" s="44"/>
      <c r="N4" s="44"/>
      <c r="O4" s="44"/>
      <c r="P4" s="44"/>
    </row>
    <row r="5" spans="1:16" s="83" customFormat="1" ht="36" hidden="1" customHeight="1" x14ac:dyDescent="0.25">
      <c r="A5" s="107">
        <v>4</v>
      </c>
      <c r="B5" s="108" t="s">
        <v>216</v>
      </c>
      <c r="C5" s="108" t="s">
        <v>364</v>
      </c>
      <c r="D5" s="120" t="s">
        <v>13</v>
      </c>
      <c r="E5" s="14" t="s">
        <v>204</v>
      </c>
      <c r="F5" s="98">
        <v>11</v>
      </c>
      <c r="G5" s="137">
        <v>170</v>
      </c>
      <c r="H5" s="96">
        <v>54</v>
      </c>
      <c r="I5" s="94">
        <f t="shared" si="0"/>
        <v>0.31764705882352939</v>
      </c>
      <c r="J5" s="126"/>
    </row>
    <row r="6" spans="1:16" s="83" customFormat="1" ht="33" hidden="1" customHeight="1" x14ac:dyDescent="0.25">
      <c r="A6" s="107">
        <v>5</v>
      </c>
      <c r="B6" s="108" t="s">
        <v>96</v>
      </c>
      <c r="C6" s="108" t="s">
        <v>365</v>
      </c>
      <c r="D6" s="120" t="s">
        <v>25</v>
      </c>
      <c r="E6" s="14" t="s">
        <v>204</v>
      </c>
      <c r="F6" s="98">
        <v>11</v>
      </c>
      <c r="G6" s="137">
        <v>170</v>
      </c>
      <c r="H6" s="96">
        <v>105</v>
      </c>
      <c r="I6" s="94">
        <f t="shared" si="0"/>
        <v>0.61764705882352944</v>
      </c>
      <c r="J6" s="96" t="s">
        <v>17</v>
      </c>
      <c r="M6" s="44"/>
      <c r="N6" s="44"/>
      <c r="O6" s="44"/>
      <c r="P6" s="44"/>
    </row>
    <row r="7" spans="1:16" s="83" customFormat="1" ht="33" hidden="1" customHeight="1" x14ac:dyDescent="0.25">
      <c r="A7" s="107">
        <v>6</v>
      </c>
      <c r="B7" s="108" t="s">
        <v>317</v>
      </c>
      <c r="C7" s="108" t="s">
        <v>365</v>
      </c>
      <c r="D7" s="120" t="s">
        <v>25</v>
      </c>
      <c r="E7" s="14" t="s">
        <v>204</v>
      </c>
      <c r="F7" s="98">
        <v>11</v>
      </c>
      <c r="G7" s="137">
        <v>170</v>
      </c>
      <c r="H7" s="96">
        <v>74.5</v>
      </c>
      <c r="I7" s="131">
        <f t="shared" si="0"/>
        <v>0.43823529411764706</v>
      </c>
      <c r="J7" s="96" t="s">
        <v>80</v>
      </c>
      <c r="K7" s="84"/>
      <c r="L7" s="84"/>
      <c r="M7" s="44"/>
      <c r="N7" s="44"/>
      <c r="O7" s="44"/>
      <c r="P7" s="44"/>
    </row>
    <row r="8" spans="1:16" s="83" customFormat="1" ht="33" hidden="1" customHeight="1" x14ac:dyDescent="0.25">
      <c r="A8" s="107">
        <v>7</v>
      </c>
      <c r="B8" s="108" t="s">
        <v>203</v>
      </c>
      <c r="C8" s="108" t="s">
        <v>366</v>
      </c>
      <c r="D8" s="120" t="s">
        <v>25</v>
      </c>
      <c r="E8" s="14" t="s">
        <v>204</v>
      </c>
      <c r="F8" s="98">
        <v>11</v>
      </c>
      <c r="G8" s="137">
        <v>170</v>
      </c>
      <c r="H8" s="96">
        <v>75.5</v>
      </c>
      <c r="I8" s="131">
        <f t="shared" si="0"/>
        <v>0.44411764705882351</v>
      </c>
      <c r="J8" s="96" t="s">
        <v>80</v>
      </c>
      <c r="M8" s="44"/>
      <c r="N8" s="44"/>
      <c r="O8" s="44"/>
      <c r="P8" s="44"/>
    </row>
    <row r="9" spans="1:16" s="83" customFormat="1" ht="33" hidden="1" customHeight="1" x14ac:dyDescent="0.25">
      <c r="A9" s="107">
        <v>8</v>
      </c>
      <c r="B9" s="125" t="s">
        <v>361</v>
      </c>
      <c r="C9" s="125" t="s">
        <v>348</v>
      </c>
      <c r="D9" s="125" t="s">
        <v>14</v>
      </c>
      <c r="E9" s="125" t="s">
        <v>179</v>
      </c>
      <c r="F9" s="133">
        <v>11</v>
      </c>
      <c r="G9" s="113">
        <v>60</v>
      </c>
      <c r="H9" s="113">
        <v>2</v>
      </c>
      <c r="I9" s="94">
        <f t="shared" si="0"/>
        <v>3.3333333333333333E-2</v>
      </c>
      <c r="J9" s="113"/>
      <c r="K9" s="84"/>
      <c r="L9" s="84"/>
      <c r="M9" s="44"/>
      <c r="N9" s="44"/>
      <c r="O9" s="44"/>
      <c r="P9" s="44"/>
    </row>
    <row r="10" spans="1:16" s="83" customFormat="1" ht="33" hidden="1" customHeight="1" x14ac:dyDescent="0.25">
      <c r="A10" s="107">
        <v>9</v>
      </c>
      <c r="B10" s="120" t="s">
        <v>140</v>
      </c>
      <c r="C10" s="120" t="s">
        <v>348</v>
      </c>
      <c r="D10" s="120" t="s">
        <v>14</v>
      </c>
      <c r="E10" s="120" t="s">
        <v>179</v>
      </c>
      <c r="F10" s="134">
        <v>11</v>
      </c>
      <c r="G10" s="97">
        <v>60</v>
      </c>
      <c r="H10" s="97">
        <v>1</v>
      </c>
      <c r="I10" s="94">
        <f t="shared" si="0"/>
        <v>1.6666666666666666E-2</v>
      </c>
      <c r="J10" s="97"/>
      <c r="M10" s="44"/>
      <c r="N10" s="44"/>
      <c r="O10" s="44"/>
      <c r="P10" s="44"/>
    </row>
    <row r="11" spans="1:16" s="83" customFormat="1" ht="33" hidden="1" customHeight="1" x14ac:dyDescent="0.25">
      <c r="A11" s="107">
        <v>10</v>
      </c>
      <c r="B11" s="120" t="s">
        <v>92</v>
      </c>
      <c r="C11" s="120" t="s">
        <v>159</v>
      </c>
      <c r="D11" s="120" t="s">
        <v>13</v>
      </c>
      <c r="E11" s="120" t="s">
        <v>179</v>
      </c>
      <c r="F11" s="134">
        <v>11</v>
      </c>
      <c r="G11" s="97">
        <v>60</v>
      </c>
      <c r="H11" s="97">
        <v>17</v>
      </c>
      <c r="I11" s="94">
        <f t="shared" si="0"/>
        <v>0.28333333333333333</v>
      </c>
      <c r="J11" s="97"/>
      <c r="K11" s="84"/>
      <c r="L11" s="84"/>
      <c r="M11" s="44"/>
      <c r="N11" s="44"/>
      <c r="O11" s="44"/>
      <c r="P11" s="44"/>
    </row>
    <row r="12" spans="1:16" s="83" customFormat="1" ht="33" hidden="1" customHeight="1" x14ac:dyDescent="0.25">
      <c r="A12" s="107">
        <v>11</v>
      </c>
      <c r="B12" s="120" t="s">
        <v>191</v>
      </c>
      <c r="C12" s="120" t="s">
        <v>87</v>
      </c>
      <c r="D12" s="120" t="s">
        <v>25</v>
      </c>
      <c r="E12" s="120" t="s">
        <v>179</v>
      </c>
      <c r="F12" s="134">
        <v>11</v>
      </c>
      <c r="G12" s="97">
        <v>60</v>
      </c>
      <c r="H12" s="97">
        <v>16</v>
      </c>
      <c r="I12" s="94">
        <f t="shared" si="0"/>
        <v>0.26666666666666666</v>
      </c>
      <c r="J12" s="97"/>
      <c r="K12" s="84"/>
      <c r="L12" s="84"/>
      <c r="M12" s="44"/>
      <c r="N12" s="44"/>
      <c r="O12" s="44"/>
      <c r="P12" s="44"/>
    </row>
    <row r="13" spans="1:16" s="83" customFormat="1" ht="33" hidden="1" customHeight="1" x14ac:dyDescent="0.25">
      <c r="A13" s="107">
        <v>12</v>
      </c>
      <c r="B13" s="120" t="s">
        <v>266</v>
      </c>
      <c r="C13" s="53" t="s">
        <v>339</v>
      </c>
      <c r="D13" s="53" t="s">
        <v>253</v>
      </c>
      <c r="E13" s="14" t="s">
        <v>162</v>
      </c>
      <c r="F13" s="141">
        <v>10</v>
      </c>
      <c r="G13" s="96">
        <v>100</v>
      </c>
      <c r="H13" s="96">
        <v>27.3</v>
      </c>
      <c r="I13" s="94">
        <f t="shared" si="0"/>
        <v>0.27300000000000002</v>
      </c>
      <c r="J13" s="96"/>
      <c r="K13" s="84"/>
      <c r="L13" s="84"/>
      <c r="M13" s="44"/>
      <c r="N13" s="44"/>
      <c r="O13" s="44"/>
      <c r="P13" s="44"/>
    </row>
    <row r="14" spans="1:16" s="83" customFormat="1" ht="33" hidden="1" customHeight="1" x14ac:dyDescent="0.25">
      <c r="A14" s="107">
        <v>13</v>
      </c>
      <c r="B14" s="120" t="s">
        <v>360</v>
      </c>
      <c r="C14" s="53" t="s">
        <v>342</v>
      </c>
      <c r="D14" s="53" t="s">
        <v>253</v>
      </c>
      <c r="E14" s="14" t="s">
        <v>162</v>
      </c>
      <c r="F14" s="141">
        <v>11</v>
      </c>
      <c r="G14" s="96">
        <v>100</v>
      </c>
      <c r="H14" s="96">
        <v>29.1</v>
      </c>
      <c r="I14" s="94">
        <f t="shared" si="0"/>
        <v>0.29100000000000004</v>
      </c>
      <c r="J14" s="96"/>
      <c r="M14" s="44"/>
      <c r="N14" s="44"/>
      <c r="O14" s="44"/>
      <c r="P14" s="44"/>
    </row>
    <row r="15" spans="1:16" ht="31.5" hidden="1" x14ac:dyDescent="0.25">
      <c r="A15" s="107">
        <v>14</v>
      </c>
      <c r="B15" s="120" t="s">
        <v>146</v>
      </c>
      <c r="C15" s="105" t="s">
        <v>337</v>
      </c>
      <c r="D15" s="105" t="s">
        <v>16</v>
      </c>
      <c r="E15" s="14" t="s">
        <v>162</v>
      </c>
      <c r="F15" s="98">
        <v>10</v>
      </c>
      <c r="G15" s="137">
        <v>100</v>
      </c>
      <c r="H15" s="92">
        <v>53.6</v>
      </c>
      <c r="I15" s="94">
        <f t="shared" si="0"/>
        <v>0.53600000000000003</v>
      </c>
      <c r="J15" s="96" t="s">
        <v>18</v>
      </c>
      <c r="K15" s="86"/>
      <c r="L15" s="86"/>
    </row>
    <row r="16" spans="1:16" s="83" customFormat="1" ht="33" hidden="1" customHeight="1" x14ac:dyDescent="0.25">
      <c r="A16" s="107">
        <v>15</v>
      </c>
      <c r="B16" s="120" t="s">
        <v>345</v>
      </c>
      <c r="C16" s="105" t="s">
        <v>337</v>
      </c>
      <c r="D16" s="105" t="s">
        <v>16</v>
      </c>
      <c r="E16" s="14" t="s">
        <v>162</v>
      </c>
      <c r="F16" s="98">
        <v>10</v>
      </c>
      <c r="G16" s="137">
        <v>100</v>
      </c>
      <c r="H16" s="92">
        <v>50.9</v>
      </c>
      <c r="I16" s="94">
        <f t="shared" si="0"/>
        <v>0.50900000000000001</v>
      </c>
      <c r="J16" s="96" t="s">
        <v>18</v>
      </c>
      <c r="K16" s="85"/>
      <c r="L16" s="85"/>
      <c r="M16" s="44"/>
      <c r="N16" s="44"/>
      <c r="O16" s="44"/>
      <c r="P16" s="44"/>
    </row>
    <row r="17" spans="1:16" s="83" customFormat="1" ht="33" hidden="1" customHeight="1" x14ac:dyDescent="0.25">
      <c r="A17" s="107">
        <v>16</v>
      </c>
      <c r="B17" s="120" t="s">
        <v>235</v>
      </c>
      <c r="C17" s="82" t="s">
        <v>335</v>
      </c>
      <c r="D17" s="105" t="s">
        <v>14</v>
      </c>
      <c r="E17" s="14" t="s">
        <v>162</v>
      </c>
      <c r="F17" s="98">
        <v>9</v>
      </c>
      <c r="G17" s="137">
        <v>100</v>
      </c>
      <c r="H17" s="92">
        <v>55.5</v>
      </c>
      <c r="I17" s="94">
        <f t="shared" si="0"/>
        <v>0.55500000000000005</v>
      </c>
      <c r="J17" s="96" t="s">
        <v>18</v>
      </c>
      <c r="K17" s="84"/>
      <c r="L17" s="84"/>
      <c r="M17" s="44"/>
      <c r="N17" s="44"/>
      <c r="O17" s="44"/>
      <c r="P17" s="44"/>
    </row>
    <row r="18" spans="1:16" s="84" customFormat="1" ht="33" hidden="1" customHeight="1" x14ac:dyDescent="0.25">
      <c r="A18" s="107">
        <v>17</v>
      </c>
      <c r="B18" s="120" t="s">
        <v>135</v>
      </c>
      <c r="C18" s="105" t="s">
        <v>338</v>
      </c>
      <c r="D18" s="105" t="s">
        <v>12</v>
      </c>
      <c r="E18" s="14" t="s">
        <v>162</v>
      </c>
      <c r="F18" s="98">
        <v>10</v>
      </c>
      <c r="G18" s="137">
        <v>100</v>
      </c>
      <c r="H18" s="92">
        <v>50.9</v>
      </c>
      <c r="I18" s="94">
        <f t="shared" si="0"/>
        <v>0.50900000000000001</v>
      </c>
      <c r="J18" s="96" t="s">
        <v>18</v>
      </c>
      <c r="M18" s="44"/>
      <c r="N18" s="44"/>
      <c r="O18" s="44"/>
      <c r="P18" s="44"/>
    </row>
    <row r="19" spans="1:16" s="86" customFormat="1" ht="31.5" hidden="1" x14ac:dyDescent="0.25">
      <c r="A19" s="107">
        <v>18</v>
      </c>
      <c r="B19" s="120" t="s">
        <v>356</v>
      </c>
      <c r="C19" s="53" t="s">
        <v>338</v>
      </c>
      <c r="D19" s="53" t="s">
        <v>12</v>
      </c>
      <c r="E19" s="14" t="s">
        <v>162</v>
      </c>
      <c r="F19" s="141">
        <v>10</v>
      </c>
      <c r="G19" s="96">
        <v>100</v>
      </c>
      <c r="H19" s="96">
        <v>41.7</v>
      </c>
      <c r="I19" s="94">
        <f t="shared" si="0"/>
        <v>0.41700000000000004</v>
      </c>
      <c r="J19" s="96" t="s">
        <v>80</v>
      </c>
      <c r="K19" s="84"/>
      <c r="L19" s="84"/>
      <c r="M19" s="44"/>
      <c r="N19" s="44"/>
      <c r="O19" s="44"/>
      <c r="P19" s="44"/>
    </row>
    <row r="20" spans="1:16" s="84" customFormat="1" ht="36" hidden="1" customHeight="1" x14ac:dyDescent="0.25">
      <c r="A20" s="107">
        <v>19</v>
      </c>
      <c r="B20" s="120" t="s">
        <v>354</v>
      </c>
      <c r="C20" s="106" t="s">
        <v>334</v>
      </c>
      <c r="D20" s="14" t="s">
        <v>12</v>
      </c>
      <c r="E20" s="14" t="s">
        <v>162</v>
      </c>
      <c r="F20" s="98">
        <v>9</v>
      </c>
      <c r="G20" s="137">
        <v>100</v>
      </c>
      <c r="H20" s="92">
        <v>38.200000000000003</v>
      </c>
      <c r="I20" s="94">
        <f t="shared" si="0"/>
        <v>0.38200000000000001</v>
      </c>
      <c r="J20" s="145"/>
      <c r="M20" s="44"/>
      <c r="N20" s="44"/>
      <c r="O20" s="44"/>
      <c r="P20" s="44"/>
    </row>
    <row r="21" spans="1:16" s="84" customFormat="1" ht="33" hidden="1" customHeight="1" x14ac:dyDescent="0.25">
      <c r="A21" s="107">
        <v>20</v>
      </c>
      <c r="B21" s="120" t="s">
        <v>355</v>
      </c>
      <c r="C21" s="105" t="s">
        <v>334</v>
      </c>
      <c r="D21" s="105" t="s">
        <v>12</v>
      </c>
      <c r="E21" s="14" t="s">
        <v>162</v>
      </c>
      <c r="F21" s="98">
        <v>9</v>
      </c>
      <c r="G21" s="137">
        <v>100</v>
      </c>
      <c r="H21" s="92">
        <v>31.8</v>
      </c>
      <c r="I21" s="94">
        <f t="shared" si="0"/>
        <v>0.318</v>
      </c>
      <c r="J21" s="145"/>
      <c r="M21" s="44"/>
      <c r="N21" s="44"/>
      <c r="O21" s="44"/>
      <c r="P21" s="44"/>
    </row>
    <row r="22" spans="1:16" s="84" customFormat="1" ht="33" hidden="1" customHeight="1" x14ac:dyDescent="0.25">
      <c r="A22" s="107">
        <v>21</v>
      </c>
      <c r="B22" s="120" t="s">
        <v>261</v>
      </c>
      <c r="C22" s="106" t="s">
        <v>329</v>
      </c>
      <c r="D22" s="52" t="s">
        <v>13</v>
      </c>
      <c r="E22" s="14" t="s">
        <v>162</v>
      </c>
      <c r="F22" s="98">
        <v>9</v>
      </c>
      <c r="G22" s="137">
        <v>100</v>
      </c>
      <c r="H22" s="92">
        <v>52.2</v>
      </c>
      <c r="I22" s="94">
        <f t="shared" si="0"/>
        <v>0.52200000000000002</v>
      </c>
      <c r="J22" s="96" t="s">
        <v>18</v>
      </c>
      <c r="K22" s="85"/>
      <c r="L22" s="85"/>
      <c r="M22" s="44"/>
      <c r="N22" s="44"/>
      <c r="O22" s="44"/>
      <c r="P22" s="44"/>
    </row>
    <row r="23" spans="1:16" s="84" customFormat="1" ht="33" hidden="1" customHeight="1" x14ac:dyDescent="0.25">
      <c r="A23" s="107">
        <v>22</v>
      </c>
      <c r="B23" s="120" t="s">
        <v>343</v>
      </c>
      <c r="C23" s="105" t="s">
        <v>329</v>
      </c>
      <c r="D23" s="105" t="s">
        <v>13</v>
      </c>
      <c r="E23" s="14" t="s">
        <v>162</v>
      </c>
      <c r="F23" s="98">
        <v>10</v>
      </c>
      <c r="G23" s="137">
        <v>100</v>
      </c>
      <c r="H23" s="92">
        <v>56.7</v>
      </c>
      <c r="I23" s="94">
        <f t="shared" si="0"/>
        <v>0.56700000000000006</v>
      </c>
      <c r="J23" s="96" t="s">
        <v>18</v>
      </c>
      <c r="K23" s="44"/>
      <c r="L23" s="44"/>
      <c r="M23" s="44"/>
      <c r="N23" s="44"/>
      <c r="O23" s="44"/>
      <c r="P23" s="44"/>
    </row>
    <row r="24" spans="1:16" s="86" customFormat="1" ht="31.5" hidden="1" x14ac:dyDescent="0.25">
      <c r="A24" s="107">
        <v>23</v>
      </c>
      <c r="B24" s="120" t="s">
        <v>205</v>
      </c>
      <c r="C24" s="105" t="s">
        <v>329</v>
      </c>
      <c r="D24" s="105" t="s">
        <v>13</v>
      </c>
      <c r="E24" s="14" t="s">
        <v>162</v>
      </c>
      <c r="F24" s="98">
        <v>10</v>
      </c>
      <c r="G24" s="137">
        <v>100</v>
      </c>
      <c r="H24" s="92">
        <v>54.6</v>
      </c>
      <c r="I24" s="94">
        <f t="shared" si="0"/>
        <v>0.54600000000000004</v>
      </c>
      <c r="J24" s="96" t="s">
        <v>18</v>
      </c>
      <c r="K24" s="84"/>
      <c r="L24" s="84"/>
      <c r="M24" s="44"/>
      <c r="N24" s="44"/>
      <c r="O24" s="44"/>
      <c r="P24" s="44"/>
    </row>
    <row r="25" spans="1:16" s="84" customFormat="1" ht="33" hidden="1" customHeight="1" x14ac:dyDescent="0.25">
      <c r="A25" s="107">
        <v>24</v>
      </c>
      <c r="B25" s="120" t="s">
        <v>344</v>
      </c>
      <c r="C25" s="105" t="s">
        <v>329</v>
      </c>
      <c r="D25" s="105" t="s">
        <v>13</v>
      </c>
      <c r="E25" s="14" t="s">
        <v>162</v>
      </c>
      <c r="F25" s="98">
        <v>10</v>
      </c>
      <c r="G25" s="137">
        <v>100</v>
      </c>
      <c r="H25" s="92">
        <v>55.4</v>
      </c>
      <c r="I25" s="94">
        <f t="shared" si="0"/>
        <v>0.55399999999999994</v>
      </c>
      <c r="J25" s="96" t="s">
        <v>18</v>
      </c>
      <c r="K25" s="83"/>
      <c r="L25" s="83"/>
      <c r="M25" s="44"/>
      <c r="N25" s="44"/>
      <c r="O25" s="44"/>
      <c r="P25" s="44"/>
    </row>
    <row r="26" spans="1:16" s="84" customFormat="1" ht="33" hidden="1" customHeight="1" x14ac:dyDescent="0.25">
      <c r="A26" s="107">
        <v>25</v>
      </c>
      <c r="B26" s="120" t="s">
        <v>98</v>
      </c>
      <c r="C26" s="53" t="s">
        <v>341</v>
      </c>
      <c r="D26" s="53" t="s">
        <v>13</v>
      </c>
      <c r="E26" s="14" t="s">
        <v>162</v>
      </c>
      <c r="F26" s="141">
        <v>11</v>
      </c>
      <c r="G26" s="96">
        <v>100</v>
      </c>
      <c r="H26" s="96">
        <v>56.4</v>
      </c>
      <c r="I26" s="94">
        <f t="shared" si="0"/>
        <v>0.56399999999999995</v>
      </c>
      <c r="J26" s="96" t="s">
        <v>18</v>
      </c>
      <c r="K26" s="83"/>
      <c r="L26" s="83"/>
      <c r="M26" s="83"/>
      <c r="N26" s="83"/>
      <c r="O26" s="83"/>
      <c r="P26" s="83"/>
    </row>
    <row r="27" spans="1:16" s="86" customFormat="1" ht="31.5" hidden="1" x14ac:dyDescent="0.25">
      <c r="A27" s="107">
        <v>26</v>
      </c>
      <c r="B27" s="120" t="s">
        <v>238</v>
      </c>
      <c r="C27" s="106" t="s">
        <v>330</v>
      </c>
      <c r="D27" s="52" t="s">
        <v>13</v>
      </c>
      <c r="E27" s="14" t="s">
        <v>162</v>
      </c>
      <c r="F27" s="98">
        <v>9</v>
      </c>
      <c r="G27" s="137">
        <v>100</v>
      </c>
      <c r="H27" s="92">
        <v>48.8</v>
      </c>
      <c r="I27" s="94">
        <f t="shared" si="0"/>
        <v>0.48799999999999999</v>
      </c>
      <c r="J27" s="96" t="s">
        <v>80</v>
      </c>
      <c r="K27" s="83"/>
      <c r="L27" s="83"/>
      <c r="M27" s="84"/>
      <c r="N27" s="84"/>
      <c r="O27" s="84"/>
      <c r="P27" s="84"/>
    </row>
    <row r="28" spans="1:16" s="84" customFormat="1" ht="33" hidden="1" customHeight="1" x14ac:dyDescent="0.25">
      <c r="A28" s="107">
        <v>27</v>
      </c>
      <c r="B28" s="120" t="s">
        <v>358</v>
      </c>
      <c r="C28" s="53" t="s">
        <v>341</v>
      </c>
      <c r="D28" s="53" t="s">
        <v>13</v>
      </c>
      <c r="E28" s="14" t="s">
        <v>162</v>
      </c>
      <c r="F28" s="141">
        <v>11</v>
      </c>
      <c r="G28" s="96">
        <v>100</v>
      </c>
      <c r="H28" s="96">
        <v>40.4</v>
      </c>
      <c r="I28" s="94">
        <f t="shared" si="0"/>
        <v>0.40399999999999997</v>
      </c>
      <c r="J28" s="96" t="s">
        <v>80</v>
      </c>
    </row>
    <row r="29" spans="1:16" s="87" customFormat="1" ht="33" hidden="1" customHeight="1" x14ac:dyDescent="0.25">
      <c r="A29" s="107">
        <v>28</v>
      </c>
      <c r="B29" s="120" t="s">
        <v>357</v>
      </c>
      <c r="C29" s="53" t="s">
        <v>341</v>
      </c>
      <c r="D29" s="53" t="s">
        <v>13</v>
      </c>
      <c r="E29" s="14" t="s">
        <v>162</v>
      </c>
      <c r="F29" s="141">
        <v>11</v>
      </c>
      <c r="G29" s="96">
        <v>100</v>
      </c>
      <c r="H29" s="96">
        <v>33.799999999999997</v>
      </c>
      <c r="I29" s="94">
        <f t="shared" si="0"/>
        <v>0.33799999999999997</v>
      </c>
      <c r="J29" s="96"/>
      <c r="K29" s="83"/>
      <c r="L29" s="83"/>
      <c r="M29" s="83"/>
      <c r="N29" s="83"/>
      <c r="O29" s="83"/>
      <c r="P29" s="83"/>
    </row>
    <row r="30" spans="1:16" s="84" customFormat="1" ht="33" hidden="1" customHeight="1" x14ac:dyDescent="0.25">
      <c r="A30" s="107">
        <v>29</v>
      </c>
      <c r="B30" s="120" t="s">
        <v>349</v>
      </c>
      <c r="C30" s="106" t="s">
        <v>331</v>
      </c>
      <c r="D30" s="14" t="s">
        <v>25</v>
      </c>
      <c r="E30" s="14" t="s">
        <v>162</v>
      </c>
      <c r="F30" s="98">
        <v>9</v>
      </c>
      <c r="G30" s="137">
        <v>100</v>
      </c>
      <c r="H30" s="92">
        <v>47.9</v>
      </c>
      <c r="I30" s="94">
        <f t="shared" si="0"/>
        <v>0.47899999999999998</v>
      </c>
      <c r="J30" s="96" t="s">
        <v>80</v>
      </c>
      <c r="K30" s="44"/>
      <c r="L30" s="44"/>
    </row>
    <row r="31" spans="1:16" s="87" customFormat="1" ht="33" hidden="1" customHeight="1" x14ac:dyDescent="0.25">
      <c r="A31" s="107">
        <v>30</v>
      </c>
      <c r="B31" s="120" t="s">
        <v>350</v>
      </c>
      <c r="C31" s="132" t="s">
        <v>332</v>
      </c>
      <c r="D31" s="102" t="s">
        <v>25</v>
      </c>
      <c r="E31" s="14" t="s">
        <v>162</v>
      </c>
      <c r="F31" s="115">
        <v>9</v>
      </c>
      <c r="G31" s="138">
        <v>100</v>
      </c>
      <c r="H31" s="119">
        <v>39.5</v>
      </c>
      <c r="I31" s="94">
        <f t="shared" si="0"/>
        <v>0.39500000000000002</v>
      </c>
      <c r="J31" s="129" t="s">
        <v>80</v>
      </c>
      <c r="K31" s="85"/>
      <c r="L31" s="85"/>
      <c r="M31" s="88"/>
      <c r="N31" s="88"/>
      <c r="O31" s="88"/>
      <c r="P31" s="88"/>
    </row>
    <row r="32" spans="1:16" s="84" customFormat="1" ht="33" hidden="1" customHeight="1" x14ac:dyDescent="0.25">
      <c r="A32" s="107">
        <v>31</v>
      </c>
      <c r="B32" s="120" t="s">
        <v>351</v>
      </c>
      <c r="C32" s="106" t="s">
        <v>333</v>
      </c>
      <c r="D32" s="14" t="s">
        <v>25</v>
      </c>
      <c r="E32" s="14" t="s">
        <v>162</v>
      </c>
      <c r="F32" s="98">
        <v>9</v>
      </c>
      <c r="G32" s="137">
        <v>100</v>
      </c>
      <c r="H32" s="92">
        <v>35.799999999999997</v>
      </c>
      <c r="I32" s="94">
        <f t="shared" si="0"/>
        <v>0.35799999999999998</v>
      </c>
      <c r="J32" s="145"/>
      <c r="M32" s="83"/>
      <c r="N32" s="83"/>
      <c r="O32" s="83"/>
      <c r="P32" s="83"/>
    </row>
    <row r="33" spans="1:16" s="84" customFormat="1" ht="33" hidden="1" customHeight="1" x14ac:dyDescent="0.25">
      <c r="A33" s="107">
        <v>32</v>
      </c>
      <c r="B33" s="120" t="s">
        <v>352</v>
      </c>
      <c r="C33" s="106" t="s">
        <v>333</v>
      </c>
      <c r="D33" s="14" t="s">
        <v>25</v>
      </c>
      <c r="E33" s="14" t="s">
        <v>162</v>
      </c>
      <c r="F33" s="98">
        <v>9</v>
      </c>
      <c r="G33" s="137">
        <v>100</v>
      </c>
      <c r="H33" s="92">
        <v>38.799999999999997</v>
      </c>
      <c r="I33" s="94">
        <f t="shared" si="0"/>
        <v>0.38799999999999996</v>
      </c>
      <c r="J33" s="145"/>
      <c r="K33" s="83"/>
      <c r="L33" s="83"/>
      <c r="M33" s="83"/>
      <c r="N33" s="83"/>
      <c r="O33" s="83"/>
      <c r="P33" s="83"/>
    </row>
    <row r="34" spans="1:16" s="84" customFormat="1" ht="33" hidden="1" customHeight="1" x14ac:dyDescent="0.25">
      <c r="A34" s="107">
        <v>33</v>
      </c>
      <c r="B34" s="120" t="s">
        <v>353</v>
      </c>
      <c r="C34" s="106" t="s">
        <v>333</v>
      </c>
      <c r="D34" s="14" t="s">
        <v>25</v>
      </c>
      <c r="E34" s="14" t="s">
        <v>162</v>
      </c>
      <c r="F34" s="98">
        <v>9</v>
      </c>
      <c r="G34" s="137">
        <v>100</v>
      </c>
      <c r="H34" s="92">
        <v>35.1</v>
      </c>
      <c r="I34" s="94">
        <f t="shared" ref="I34:I65" si="1">H34/G34</f>
        <v>0.35100000000000003</v>
      </c>
      <c r="J34" s="145"/>
      <c r="K34" s="44"/>
      <c r="L34" s="44"/>
      <c r="M34" s="86"/>
      <c r="N34" s="86"/>
      <c r="O34" s="86"/>
      <c r="P34" s="86"/>
    </row>
    <row r="35" spans="1:16" s="84" customFormat="1" ht="33" hidden="1" customHeight="1" x14ac:dyDescent="0.25">
      <c r="A35" s="107">
        <v>34</v>
      </c>
      <c r="B35" s="120" t="s">
        <v>359</v>
      </c>
      <c r="C35" s="105" t="s">
        <v>340</v>
      </c>
      <c r="D35" s="14" t="s">
        <v>147</v>
      </c>
      <c r="E35" s="14" t="s">
        <v>162</v>
      </c>
      <c r="F35" s="98">
        <v>10</v>
      </c>
      <c r="G35" s="137">
        <v>100</v>
      </c>
      <c r="H35" s="92">
        <v>46.1</v>
      </c>
      <c r="I35" s="94">
        <f t="shared" si="1"/>
        <v>0.46100000000000002</v>
      </c>
      <c r="J35" s="96" t="s">
        <v>80</v>
      </c>
      <c r="M35" s="44"/>
      <c r="N35" s="44"/>
      <c r="O35" s="44"/>
      <c r="P35" s="44"/>
    </row>
    <row r="36" spans="1:16" s="84" customFormat="1" ht="33" hidden="1" customHeight="1" x14ac:dyDescent="0.25">
      <c r="A36" s="107">
        <v>35</v>
      </c>
      <c r="B36" s="120" t="s">
        <v>237</v>
      </c>
      <c r="C36" s="105" t="s">
        <v>336</v>
      </c>
      <c r="D36" s="14" t="s">
        <v>118</v>
      </c>
      <c r="E36" s="14" t="s">
        <v>162</v>
      </c>
      <c r="F36" s="98">
        <v>9</v>
      </c>
      <c r="G36" s="137">
        <v>100</v>
      </c>
      <c r="H36" s="92">
        <v>46.8</v>
      </c>
      <c r="I36" s="94">
        <f t="shared" si="1"/>
        <v>0.46799999999999997</v>
      </c>
      <c r="J36" s="96" t="s">
        <v>80</v>
      </c>
      <c r="M36" s="44"/>
      <c r="N36" s="44"/>
      <c r="O36" s="44"/>
      <c r="P36" s="44"/>
    </row>
    <row r="37" spans="1:16" s="84" customFormat="1" ht="33" hidden="1" customHeight="1" x14ac:dyDescent="0.25">
      <c r="A37" s="107">
        <v>36</v>
      </c>
      <c r="B37" s="53" t="s">
        <v>220</v>
      </c>
      <c r="C37" s="53" t="s">
        <v>221</v>
      </c>
      <c r="D37" s="53" t="s">
        <v>15</v>
      </c>
      <c r="E37" s="14" t="s">
        <v>119</v>
      </c>
      <c r="F37" s="96">
        <v>9</v>
      </c>
      <c r="G37" s="96">
        <v>157</v>
      </c>
      <c r="H37" s="96">
        <v>67.05</v>
      </c>
      <c r="I37" s="94">
        <f t="shared" si="1"/>
        <v>0.42707006369426748</v>
      </c>
      <c r="J37" s="96" t="s">
        <v>80</v>
      </c>
      <c r="K37" s="83"/>
      <c r="L37" s="83"/>
      <c r="M37" s="44"/>
      <c r="N37" s="44"/>
      <c r="O37" s="44"/>
      <c r="P37" s="44"/>
    </row>
    <row r="38" spans="1:16" s="86" customFormat="1" ht="31.5" hidden="1" x14ac:dyDescent="0.25">
      <c r="A38" s="107">
        <v>37</v>
      </c>
      <c r="B38" s="53" t="s">
        <v>167</v>
      </c>
      <c r="C38" s="53" t="s">
        <v>141</v>
      </c>
      <c r="D38" s="53" t="s">
        <v>15</v>
      </c>
      <c r="E38" s="14" t="s">
        <v>119</v>
      </c>
      <c r="F38" s="96">
        <v>10</v>
      </c>
      <c r="G38" s="96">
        <v>133.5</v>
      </c>
      <c r="H38" s="96">
        <v>38.5</v>
      </c>
      <c r="I38" s="94">
        <f t="shared" si="1"/>
        <v>0.28838951310861421</v>
      </c>
      <c r="J38" s="96"/>
      <c r="K38" s="83"/>
      <c r="L38" s="83"/>
      <c r="M38" s="44"/>
      <c r="N38" s="44"/>
      <c r="O38" s="44"/>
      <c r="P38" s="44"/>
    </row>
    <row r="39" spans="1:16" s="84" customFormat="1" ht="33" hidden="1" customHeight="1" x14ac:dyDescent="0.25">
      <c r="A39" s="107">
        <v>38</v>
      </c>
      <c r="B39" s="53" t="s">
        <v>224</v>
      </c>
      <c r="C39" s="53" t="s">
        <v>102</v>
      </c>
      <c r="D39" s="53" t="s">
        <v>253</v>
      </c>
      <c r="E39" s="14" t="s">
        <v>119</v>
      </c>
      <c r="F39" s="96">
        <v>9</v>
      </c>
      <c r="G39" s="96">
        <v>157</v>
      </c>
      <c r="H39" s="96">
        <v>50.2</v>
      </c>
      <c r="I39" s="94">
        <f t="shared" si="1"/>
        <v>0.31974522292993635</v>
      </c>
      <c r="J39" s="96"/>
      <c r="M39" s="44"/>
      <c r="N39" s="44"/>
      <c r="O39" s="44"/>
      <c r="P39" s="44"/>
    </row>
    <row r="40" spans="1:16" s="84" customFormat="1" ht="33" hidden="1" customHeight="1" x14ac:dyDescent="0.25">
      <c r="A40" s="107">
        <v>39</v>
      </c>
      <c r="B40" s="53" t="s">
        <v>136</v>
      </c>
      <c r="C40" s="53" t="s">
        <v>102</v>
      </c>
      <c r="D40" s="53" t="s">
        <v>253</v>
      </c>
      <c r="E40" s="14" t="s">
        <v>119</v>
      </c>
      <c r="F40" s="96">
        <v>10</v>
      </c>
      <c r="G40" s="96">
        <v>133.5</v>
      </c>
      <c r="H40" s="96">
        <v>36.25</v>
      </c>
      <c r="I40" s="94">
        <f t="shared" si="1"/>
        <v>0.27153558052434457</v>
      </c>
      <c r="J40" s="96"/>
      <c r="K40" s="88"/>
      <c r="L40" s="88"/>
      <c r="M40" s="44"/>
      <c r="N40" s="44"/>
      <c r="O40" s="44"/>
      <c r="P40" s="44"/>
    </row>
    <row r="41" spans="1:16" s="84" customFormat="1" ht="33" hidden="1" customHeight="1" x14ac:dyDescent="0.25">
      <c r="A41" s="107">
        <v>40</v>
      </c>
      <c r="B41" s="53" t="s">
        <v>227</v>
      </c>
      <c r="C41" s="53" t="s">
        <v>102</v>
      </c>
      <c r="D41" s="53" t="s">
        <v>253</v>
      </c>
      <c r="E41" s="14" t="s">
        <v>119</v>
      </c>
      <c r="F41" s="96">
        <v>10</v>
      </c>
      <c r="G41" s="96">
        <v>133.5</v>
      </c>
      <c r="H41" s="96">
        <v>32</v>
      </c>
      <c r="I41" s="94">
        <f t="shared" si="1"/>
        <v>0.23970037453183521</v>
      </c>
      <c r="J41" s="96"/>
      <c r="K41" s="83"/>
      <c r="L41" s="83"/>
      <c r="M41" s="44"/>
      <c r="N41" s="44"/>
      <c r="O41" s="44"/>
      <c r="P41" s="44"/>
    </row>
    <row r="42" spans="1:16" s="84" customFormat="1" ht="33" hidden="1" customHeight="1" x14ac:dyDescent="0.25">
      <c r="A42" s="107">
        <v>41</v>
      </c>
      <c r="B42" s="53" t="s">
        <v>228</v>
      </c>
      <c r="C42" s="53" t="s">
        <v>102</v>
      </c>
      <c r="D42" s="53" t="s">
        <v>253</v>
      </c>
      <c r="E42" s="14" t="s">
        <v>119</v>
      </c>
      <c r="F42" s="96">
        <v>10</v>
      </c>
      <c r="G42" s="96">
        <v>133.5</v>
      </c>
      <c r="H42" s="96">
        <v>31.25</v>
      </c>
      <c r="I42" s="94">
        <f t="shared" si="1"/>
        <v>0.23408239700374531</v>
      </c>
      <c r="J42" s="96"/>
      <c r="K42" s="83"/>
      <c r="L42" s="83"/>
      <c r="M42" s="44"/>
      <c r="N42" s="44"/>
      <c r="O42" s="44"/>
      <c r="P42" s="44"/>
    </row>
    <row r="43" spans="1:16" s="84" customFormat="1" ht="33" hidden="1" customHeight="1" x14ac:dyDescent="0.25">
      <c r="A43" s="107">
        <v>42</v>
      </c>
      <c r="B43" s="53" t="s">
        <v>231</v>
      </c>
      <c r="C43" s="53" t="s">
        <v>102</v>
      </c>
      <c r="D43" s="53" t="s">
        <v>253</v>
      </c>
      <c r="E43" s="14" t="s">
        <v>119</v>
      </c>
      <c r="F43" s="96">
        <v>11</v>
      </c>
      <c r="G43" s="96">
        <v>118.5</v>
      </c>
      <c r="H43" s="96">
        <v>38</v>
      </c>
      <c r="I43" s="94">
        <f t="shared" si="1"/>
        <v>0.32067510548523209</v>
      </c>
      <c r="J43" s="96"/>
      <c r="K43" s="86"/>
      <c r="L43" s="86"/>
      <c r="M43" s="44"/>
      <c r="N43" s="44"/>
      <c r="O43" s="44"/>
      <c r="P43" s="44"/>
    </row>
    <row r="44" spans="1:16" s="84" customFormat="1" ht="33" hidden="1" customHeight="1" x14ac:dyDescent="0.25">
      <c r="A44" s="107">
        <v>43</v>
      </c>
      <c r="B44" s="53" t="s">
        <v>161</v>
      </c>
      <c r="C44" s="53" t="s">
        <v>95</v>
      </c>
      <c r="D44" s="53" t="s">
        <v>16</v>
      </c>
      <c r="E44" s="14" t="s">
        <v>119</v>
      </c>
      <c r="F44" s="96">
        <v>10</v>
      </c>
      <c r="G44" s="96">
        <v>133.5</v>
      </c>
      <c r="H44" s="96">
        <v>36.5</v>
      </c>
      <c r="I44" s="94">
        <f t="shared" si="1"/>
        <v>0.27340823970037453</v>
      </c>
      <c r="J44" s="96"/>
      <c r="K44" s="83"/>
      <c r="L44" s="83"/>
      <c r="M44" s="44"/>
      <c r="N44" s="44"/>
      <c r="O44" s="44"/>
      <c r="P44" s="44"/>
    </row>
    <row r="45" spans="1:16" s="86" customFormat="1" ht="31.5" hidden="1" x14ac:dyDescent="0.25">
      <c r="A45" s="107">
        <v>44</v>
      </c>
      <c r="B45" s="53" t="s">
        <v>146</v>
      </c>
      <c r="C45" s="53" t="s">
        <v>95</v>
      </c>
      <c r="D45" s="53" t="s">
        <v>16</v>
      </c>
      <c r="E45" s="14" t="s">
        <v>119</v>
      </c>
      <c r="F45" s="96">
        <v>10</v>
      </c>
      <c r="G45" s="96">
        <v>133.5</v>
      </c>
      <c r="H45" s="96">
        <v>35.5</v>
      </c>
      <c r="I45" s="94">
        <f t="shared" si="1"/>
        <v>0.26591760299625467</v>
      </c>
      <c r="J45" s="96"/>
      <c r="K45" s="84"/>
      <c r="L45" s="84"/>
      <c r="M45" s="44"/>
      <c r="N45" s="44"/>
      <c r="O45" s="44"/>
      <c r="P45" s="44"/>
    </row>
    <row r="46" spans="1:16" s="84" customFormat="1" ht="33" hidden="1" customHeight="1" x14ac:dyDescent="0.25">
      <c r="A46" s="107">
        <v>45</v>
      </c>
      <c r="B46" s="53" t="s">
        <v>218</v>
      </c>
      <c r="C46" s="53" t="s">
        <v>85</v>
      </c>
      <c r="D46" s="53" t="s">
        <v>14</v>
      </c>
      <c r="E46" s="14" t="s">
        <v>119</v>
      </c>
      <c r="F46" s="96">
        <v>9</v>
      </c>
      <c r="G46" s="96">
        <v>157</v>
      </c>
      <c r="H46" s="96">
        <v>76.05</v>
      </c>
      <c r="I46" s="94">
        <f t="shared" si="1"/>
        <v>0.48439490445859873</v>
      </c>
      <c r="J46" s="96" t="s">
        <v>80</v>
      </c>
      <c r="K46" s="83"/>
      <c r="L46" s="83"/>
      <c r="M46" s="44"/>
      <c r="N46" s="44"/>
      <c r="O46" s="44"/>
      <c r="P46" s="44"/>
    </row>
    <row r="47" spans="1:16" s="84" customFormat="1" ht="33" hidden="1" customHeight="1" x14ac:dyDescent="0.25">
      <c r="A47" s="107">
        <v>46</v>
      </c>
      <c r="B47" s="53" t="s">
        <v>129</v>
      </c>
      <c r="C47" s="53" t="s">
        <v>85</v>
      </c>
      <c r="D47" s="53" t="s">
        <v>14</v>
      </c>
      <c r="E47" s="14" t="s">
        <v>119</v>
      </c>
      <c r="F47" s="96">
        <v>9</v>
      </c>
      <c r="G47" s="96">
        <v>157</v>
      </c>
      <c r="H47" s="96">
        <v>66.05</v>
      </c>
      <c r="I47" s="94">
        <f t="shared" si="1"/>
        <v>0.42070063694267512</v>
      </c>
      <c r="J47" s="96" t="s">
        <v>80</v>
      </c>
      <c r="K47" s="83"/>
      <c r="L47" s="83"/>
      <c r="M47" s="44"/>
      <c r="N47" s="44"/>
      <c r="O47" s="44"/>
      <c r="P47" s="44"/>
    </row>
    <row r="48" spans="1:16" s="84" customFormat="1" ht="33" hidden="1" customHeight="1" x14ac:dyDescent="0.25">
      <c r="A48" s="107">
        <v>47</v>
      </c>
      <c r="B48" s="53" t="s">
        <v>137</v>
      </c>
      <c r="C48" s="53" t="s">
        <v>85</v>
      </c>
      <c r="D48" s="53" t="s">
        <v>14</v>
      </c>
      <c r="E48" s="14" t="s">
        <v>119</v>
      </c>
      <c r="F48" s="96">
        <v>10</v>
      </c>
      <c r="G48" s="96">
        <v>133.5</v>
      </c>
      <c r="H48" s="96">
        <v>32.25</v>
      </c>
      <c r="I48" s="94">
        <f t="shared" si="1"/>
        <v>0.24157303370786518</v>
      </c>
      <c r="J48" s="96"/>
      <c r="K48" s="44"/>
      <c r="L48" s="44"/>
      <c r="M48" s="44"/>
      <c r="N48" s="44"/>
      <c r="O48" s="44"/>
      <c r="P48" s="44"/>
    </row>
    <row r="49" spans="1:16" s="86" customFormat="1" ht="31.5" hidden="1" x14ac:dyDescent="0.25">
      <c r="A49" s="107">
        <v>48</v>
      </c>
      <c r="B49" s="53" t="s">
        <v>229</v>
      </c>
      <c r="C49" s="53" t="s">
        <v>168</v>
      </c>
      <c r="D49" s="53" t="s">
        <v>14</v>
      </c>
      <c r="E49" s="14" t="s">
        <v>119</v>
      </c>
      <c r="F49" s="96">
        <v>10</v>
      </c>
      <c r="G49" s="96">
        <v>133.5</v>
      </c>
      <c r="H49" s="96">
        <v>27.75</v>
      </c>
      <c r="I49" s="94">
        <f t="shared" si="1"/>
        <v>0.20786516853932585</v>
      </c>
      <c r="J49" s="96"/>
      <c r="K49" s="44"/>
      <c r="L49" s="44"/>
      <c r="M49" s="44"/>
      <c r="N49" s="44"/>
      <c r="O49" s="44"/>
      <c r="P49" s="44"/>
    </row>
    <row r="50" spans="1:16" s="84" customFormat="1" ht="33" hidden="1" customHeight="1" x14ac:dyDescent="0.25">
      <c r="A50" s="107">
        <v>49</v>
      </c>
      <c r="B50" s="53" t="s">
        <v>230</v>
      </c>
      <c r="C50" s="53" t="s">
        <v>85</v>
      </c>
      <c r="D50" s="53" t="s">
        <v>14</v>
      </c>
      <c r="E50" s="14" t="s">
        <v>119</v>
      </c>
      <c r="F50" s="96">
        <v>11</v>
      </c>
      <c r="G50" s="96">
        <v>118.5</v>
      </c>
      <c r="H50" s="96">
        <v>44.5</v>
      </c>
      <c r="I50" s="94">
        <f t="shared" si="1"/>
        <v>0.37552742616033757</v>
      </c>
      <c r="J50" s="96"/>
      <c r="K50" s="86"/>
      <c r="L50" s="86"/>
      <c r="M50" s="44"/>
      <c r="N50" s="44"/>
      <c r="O50" s="44"/>
      <c r="P50" s="44"/>
    </row>
    <row r="51" spans="1:16" s="84" customFormat="1" ht="33" hidden="1" customHeight="1" x14ac:dyDescent="0.25">
      <c r="A51" s="107">
        <v>50</v>
      </c>
      <c r="B51" s="53" t="s">
        <v>138</v>
      </c>
      <c r="C51" s="53" t="s">
        <v>85</v>
      </c>
      <c r="D51" s="53" t="s">
        <v>14</v>
      </c>
      <c r="E51" s="14" t="s">
        <v>119</v>
      </c>
      <c r="F51" s="96">
        <v>11</v>
      </c>
      <c r="G51" s="96">
        <v>118.5</v>
      </c>
      <c r="H51" s="96">
        <v>38.5</v>
      </c>
      <c r="I51" s="94">
        <f t="shared" si="1"/>
        <v>0.32489451476793246</v>
      </c>
      <c r="J51" s="96"/>
      <c r="K51" s="44"/>
      <c r="L51" s="44"/>
      <c r="M51" s="44"/>
      <c r="N51" s="44"/>
      <c r="O51" s="44"/>
      <c r="P51" s="44"/>
    </row>
    <row r="52" spans="1:16" s="84" customFormat="1" ht="33" hidden="1" customHeight="1" x14ac:dyDescent="0.25">
      <c r="A52" s="107">
        <v>51</v>
      </c>
      <c r="B52" s="53" t="s">
        <v>140</v>
      </c>
      <c r="C52" s="53" t="s">
        <v>85</v>
      </c>
      <c r="D52" s="53" t="s">
        <v>14</v>
      </c>
      <c r="E52" s="14" t="s">
        <v>119</v>
      </c>
      <c r="F52" s="96">
        <v>11</v>
      </c>
      <c r="G52" s="96">
        <v>118.5</v>
      </c>
      <c r="H52" s="96">
        <v>29.75</v>
      </c>
      <c r="I52" s="94">
        <f t="shared" si="1"/>
        <v>0.25105485232067509</v>
      </c>
      <c r="J52" s="96"/>
      <c r="K52" s="44"/>
      <c r="L52" s="44"/>
      <c r="M52" s="86"/>
      <c r="N52" s="86"/>
      <c r="O52" s="86"/>
      <c r="P52" s="86"/>
    </row>
    <row r="53" spans="1:16" s="86" customFormat="1" ht="29.25" hidden="1" customHeight="1" x14ac:dyDescent="0.25">
      <c r="A53" s="107">
        <v>52</v>
      </c>
      <c r="B53" s="53" t="s">
        <v>232</v>
      </c>
      <c r="C53" s="53" t="s">
        <v>233</v>
      </c>
      <c r="D53" s="53" t="s">
        <v>20</v>
      </c>
      <c r="E53" s="14" t="s">
        <v>119</v>
      </c>
      <c r="F53" s="96">
        <v>11</v>
      </c>
      <c r="G53" s="96">
        <v>118.5</v>
      </c>
      <c r="H53" s="96">
        <v>31</v>
      </c>
      <c r="I53" s="94">
        <f t="shared" si="1"/>
        <v>0.26160337552742619</v>
      </c>
      <c r="J53" s="96"/>
      <c r="M53" s="85"/>
      <c r="N53" s="85"/>
      <c r="O53" s="85"/>
      <c r="P53" s="85"/>
    </row>
    <row r="54" spans="1:16" s="84" customFormat="1" ht="33" hidden="1" customHeight="1" x14ac:dyDescent="0.25">
      <c r="A54" s="107">
        <v>53</v>
      </c>
      <c r="B54" s="53" t="s">
        <v>135</v>
      </c>
      <c r="C54" s="53" t="s">
        <v>101</v>
      </c>
      <c r="D54" s="53" t="s">
        <v>12</v>
      </c>
      <c r="E54" s="14" t="s">
        <v>119</v>
      </c>
      <c r="F54" s="96">
        <v>10</v>
      </c>
      <c r="G54" s="96">
        <v>133.5</v>
      </c>
      <c r="H54" s="96">
        <v>46.6</v>
      </c>
      <c r="I54" s="94">
        <f t="shared" si="1"/>
        <v>0.34906367041198505</v>
      </c>
      <c r="J54" s="96"/>
      <c r="M54" s="83"/>
      <c r="N54" s="83"/>
      <c r="O54" s="83"/>
      <c r="P54" s="83"/>
    </row>
    <row r="55" spans="1:16" s="84" customFormat="1" ht="33" hidden="1" customHeight="1" x14ac:dyDescent="0.25">
      <c r="A55" s="107">
        <v>54</v>
      </c>
      <c r="B55" s="53" t="s">
        <v>172</v>
      </c>
      <c r="C55" s="53" t="s">
        <v>101</v>
      </c>
      <c r="D55" s="53" t="s">
        <v>12</v>
      </c>
      <c r="E55" s="14" t="s">
        <v>119</v>
      </c>
      <c r="F55" s="96">
        <v>11</v>
      </c>
      <c r="G55" s="96">
        <v>118.5</v>
      </c>
      <c r="H55" s="96">
        <v>40.5</v>
      </c>
      <c r="I55" s="94">
        <f t="shared" si="1"/>
        <v>0.34177215189873417</v>
      </c>
      <c r="J55" s="96"/>
      <c r="K55" s="86"/>
      <c r="L55" s="86"/>
    </row>
    <row r="56" spans="1:16" s="86" customFormat="1" ht="36" hidden="1" customHeight="1" x14ac:dyDescent="0.25">
      <c r="A56" s="107">
        <v>55</v>
      </c>
      <c r="B56" s="53" t="s">
        <v>98</v>
      </c>
      <c r="C56" s="53" t="s">
        <v>99</v>
      </c>
      <c r="D56" s="53" t="s">
        <v>13</v>
      </c>
      <c r="E56" s="14" t="s">
        <v>119</v>
      </c>
      <c r="F56" s="96">
        <v>11</v>
      </c>
      <c r="G56" s="96">
        <v>118.5</v>
      </c>
      <c r="H56" s="96">
        <v>60.75</v>
      </c>
      <c r="I56" s="94">
        <f t="shared" si="1"/>
        <v>0.51265822784810122</v>
      </c>
      <c r="J56" s="96" t="s">
        <v>18</v>
      </c>
      <c r="K56" s="88"/>
      <c r="L56" s="88"/>
      <c r="M56" s="44"/>
      <c r="N56" s="44"/>
      <c r="O56" s="44"/>
      <c r="P56" s="44"/>
    </row>
    <row r="57" spans="1:16" s="84" customFormat="1" ht="33" hidden="1" customHeight="1" x14ac:dyDescent="0.25">
      <c r="A57" s="107">
        <v>56</v>
      </c>
      <c r="B57" s="53" t="s">
        <v>219</v>
      </c>
      <c r="C57" s="53" t="s">
        <v>86</v>
      </c>
      <c r="D57" s="52" t="s">
        <v>13</v>
      </c>
      <c r="E57" s="14" t="s">
        <v>119</v>
      </c>
      <c r="F57" s="96">
        <v>9</v>
      </c>
      <c r="G57" s="96">
        <v>157</v>
      </c>
      <c r="H57" s="96">
        <v>67.95</v>
      </c>
      <c r="I57" s="94">
        <f t="shared" si="1"/>
        <v>0.43280254777070065</v>
      </c>
      <c r="J57" s="96" t="s">
        <v>80</v>
      </c>
      <c r="K57" s="44"/>
      <c r="L57" s="44"/>
      <c r="M57" s="44"/>
      <c r="N57" s="44"/>
      <c r="O57" s="44"/>
      <c r="P57" s="44"/>
    </row>
    <row r="58" spans="1:16" s="84" customFormat="1" ht="33" hidden="1" customHeight="1" x14ac:dyDescent="0.25">
      <c r="A58" s="107">
        <v>57</v>
      </c>
      <c r="B58" s="53" t="s">
        <v>139</v>
      </c>
      <c r="C58" s="53" t="s">
        <v>99</v>
      </c>
      <c r="D58" s="53" t="s">
        <v>13</v>
      </c>
      <c r="E58" s="14" t="s">
        <v>119</v>
      </c>
      <c r="F58" s="96">
        <v>11</v>
      </c>
      <c r="G58" s="96">
        <v>118.5</v>
      </c>
      <c r="H58" s="96">
        <v>47.75</v>
      </c>
      <c r="I58" s="94">
        <f t="shared" si="1"/>
        <v>0.40295358649789031</v>
      </c>
      <c r="J58" s="96" t="s">
        <v>80</v>
      </c>
      <c r="K58" s="44"/>
      <c r="L58" s="44"/>
    </row>
    <row r="59" spans="1:16" s="86" customFormat="1" ht="31.5" hidden="1" x14ac:dyDescent="0.25">
      <c r="A59" s="107">
        <v>58</v>
      </c>
      <c r="B59" s="53" t="s">
        <v>223</v>
      </c>
      <c r="C59" s="53" t="s">
        <v>86</v>
      </c>
      <c r="D59" s="52" t="s">
        <v>13</v>
      </c>
      <c r="E59" s="14" t="s">
        <v>119</v>
      </c>
      <c r="F59" s="96">
        <v>9</v>
      </c>
      <c r="G59" s="96">
        <v>157</v>
      </c>
      <c r="H59" s="96">
        <v>53.95</v>
      </c>
      <c r="I59" s="94">
        <f t="shared" si="1"/>
        <v>0.34363057324840768</v>
      </c>
      <c r="J59" s="96"/>
      <c r="K59" s="83"/>
      <c r="L59" s="83"/>
      <c r="M59" s="44"/>
      <c r="N59" s="44"/>
      <c r="O59" s="44"/>
      <c r="P59" s="44"/>
    </row>
    <row r="60" spans="1:16" s="86" customFormat="1" ht="33" hidden="1" customHeight="1" x14ac:dyDescent="0.25">
      <c r="A60" s="107">
        <v>59</v>
      </c>
      <c r="B60" s="53" t="s">
        <v>133</v>
      </c>
      <c r="C60" s="53" t="s">
        <v>86</v>
      </c>
      <c r="D60" s="52" t="s">
        <v>13</v>
      </c>
      <c r="E60" s="14" t="s">
        <v>119</v>
      </c>
      <c r="F60" s="96">
        <v>9</v>
      </c>
      <c r="G60" s="96">
        <v>157</v>
      </c>
      <c r="H60" s="96">
        <v>49.45</v>
      </c>
      <c r="I60" s="94">
        <f t="shared" si="1"/>
        <v>0.31496815286624208</v>
      </c>
      <c r="J60" s="96"/>
      <c r="K60" s="83"/>
      <c r="L60" s="83"/>
      <c r="M60" s="83"/>
      <c r="N60" s="83"/>
      <c r="O60" s="83"/>
      <c r="P60" s="83"/>
    </row>
    <row r="61" spans="1:16" s="86" customFormat="1" ht="33" hidden="1" customHeight="1" x14ac:dyDescent="0.25">
      <c r="A61" s="107">
        <v>60</v>
      </c>
      <c r="B61" s="53" t="s">
        <v>225</v>
      </c>
      <c r="C61" s="53" t="s">
        <v>99</v>
      </c>
      <c r="D61" s="52" t="s">
        <v>13</v>
      </c>
      <c r="E61" s="14" t="s">
        <v>119</v>
      </c>
      <c r="F61" s="96">
        <v>10</v>
      </c>
      <c r="G61" s="96">
        <v>133.5</v>
      </c>
      <c r="H61" s="96">
        <v>51</v>
      </c>
      <c r="I61" s="94">
        <f t="shared" si="1"/>
        <v>0.38202247191011235</v>
      </c>
      <c r="J61" s="96"/>
      <c r="M61" s="83"/>
      <c r="N61" s="83"/>
      <c r="O61" s="83"/>
      <c r="P61" s="83"/>
    </row>
    <row r="62" spans="1:16" s="86" customFormat="1" ht="33" hidden="1" customHeight="1" x14ac:dyDescent="0.25">
      <c r="A62" s="107">
        <v>61</v>
      </c>
      <c r="B62" s="53" t="s">
        <v>143</v>
      </c>
      <c r="C62" s="53" t="s">
        <v>99</v>
      </c>
      <c r="D62" s="52" t="s">
        <v>13</v>
      </c>
      <c r="E62" s="14" t="s">
        <v>119</v>
      </c>
      <c r="F62" s="96">
        <v>10</v>
      </c>
      <c r="G62" s="96">
        <v>133.5</v>
      </c>
      <c r="H62" s="96">
        <v>49.25</v>
      </c>
      <c r="I62" s="94">
        <f t="shared" si="1"/>
        <v>0.36891385767790263</v>
      </c>
      <c r="J62" s="96"/>
      <c r="K62" s="87"/>
      <c r="L62" s="87"/>
      <c r="M62" s="44"/>
      <c r="N62" s="44"/>
      <c r="O62" s="44"/>
      <c r="P62" s="44"/>
    </row>
    <row r="63" spans="1:16" s="86" customFormat="1" ht="33" hidden="1" customHeight="1" x14ac:dyDescent="0.25">
      <c r="A63" s="107">
        <v>62</v>
      </c>
      <c r="B63" s="53" t="s">
        <v>149</v>
      </c>
      <c r="C63" s="53" t="s">
        <v>86</v>
      </c>
      <c r="D63" s="52" t="s">
        <v>13</v>
      </c>
      <c r="E63" s="14" t="s">
        <v>119</v>
      </c>
      <c r="F63" s="96">
        <v>10</v>
      </c>
      <c r="G63" s="96">
        <v>133.5</v>
      </c>
      <c r="H63" s="96">
        <v>39</v>
      </c>
      <c r="I63" s="94">
        <f t="shared" si="1"/>
        <v>0.29213483146067415</v>
      </c>
      <c r="J63" s="96"/>
      <c r="K63" s="87"/>
      <c r="L63" s="87"/>
      <c r="M63" s="44"/>
      <c r="N63" s="44"/>
      <c r="O63" s="44"/>
      <c r="P63" s="44"/>
    </row>
    <row r="64" spans="1:16" s="86" customFormat="1" ht="33" hidden="1" customHeight="1" x14ac:dyDescent="0.25">
      <c r="A64" s="107">
        <v>63</v>
      </c>
      <c r="B64" s="53" t="s">
        <v>226</v>
      </c>
      <c r="C64" s="53" t="s">
        <v>86</v>
      </c>
      <c r="D64" s="53" t="s">
        <v>13</v>
      </c>
      <c r="E64" s="14" t="s">
        <v>119</v>
      </c>
      <c r="F64" s="96">
        <v>10</v>
      </c>
      <c r="G64" s="96">
        <v>133.5</v>
      </c>
      <c r="H64" s="96">
        <v>34</v>
      </c>
      <c r="I64" s="94">
        <f t="shared" si="1"/>
        <v>0.25468164794007492</v>
      </c>
      <c r="J64" s="96"/>
      <c r="K64" s="84"/>
      <c r="L64" s="84"/>
      <c r="M64" s="44"/>
      <c r="N64" s="44"/>
      <c r="O64" s="44"/>
      <c r="P64" s="44"/>
    </row>
    <row r="65" spans="1:16" s="86" customFormat="1" ht="33" hidden="1" customHeight="1" x14ac:dyDescent="0.25">
      <c r="A65" s="107">
        <v>64</v>
      </c>
      <c r="B65" s="53" t="s">
        <v>90</v>
      </c>
      <c r="C65" s="53" t="s">
        <v>100</v>
      </c>
      <c r="D65" s="53" t="s">
        <v>25</v>
      </c>
      <c r="E65" s="14" t="s">
        <v>119</v>
      </c>
      <c r="F65" s="96">
        <v>11</v>
      </c>
      <c r="G65" s="96">
        <v>118.5</v>
      </c>
      <c r="H65" s="96">
        <v>59.75</v>
      </c>
      <c r="I65" s="131">
        <f t="shared" si="1"/>
        <v>0.50421940928270037</v>
      </c>
      <c r="J65" s="96" t="s">
        <v>18</v>
      </c>
      <c r="M65" s="44"/>
      <c r="N65" s="44"/>
      <c r="O65" s="44"/>
      <c r="P65" s="44"/>
    </row>
    <row r="66" spans="1:16" s="86" customFormat="1" ht="33" hidden="1" customHeight="1" x14ac:dyDescent="0.25">
      <c r="A66" s="107">
        <v>65</v>
      </c>
      <c r="B66" s="53" t="s">
        <v>96</v>
      </c>
      <c r="C66" s="53" t="s">
        <v>100</v>
      </c>
      <c r="D66" s="53" t="s">
        <v>25</v>
      </c>
      <c r="E66" s="14" t="s">
        <v>119</v>
      </c>
      <c r="F66" s="96">
        <v>11</v>
      </c>
      <c r="G66" s="96">
        <v>118.5</v>
      </c>
      <c r="H66" s="96">
        <v>59.25</v>
      </c>
      <c r="I66" s="94">
        <f t="shared" ref="I66:I97" si="2">H66/G66</f>
        <v>0.5</v>
      </c>
      <c r="J66" s="96" t="s">
        <v>18</v>
      </c>
      <c r="K66" s="44"/>
      <c r="L66" s="44"/>
      <c r="M66" s="44"/>
      <c r="N66" s="44"/>
      <c r="O66" s="44"/>
      <c r="P66" s="44"/>
    </row>
    <row r="67" spans="1:16" s="88" customFormat="1" ht="33" hidden="1" customHeight="1" x14ac:dyDescent="0.25">
      <c r="A67" s="107">
        <v>66</v>
      </c>
      <c r="B67" s="53" t="s">
        <v>222</v>
      </c>
      <c r="C67" s="53" t="s">
        <v>100</v>
      </c>
      <c r="D67" s="53" t="s">
        <v>25</v>
      </c>
      <c r="E67" s="14" t="s">
        <v>119</v>
      </c>
      <c r="F67" s="96">
        <v>9</v>
      </c>
      <c r="G67" s="96">
        <v>157</v>
      </c>
      <c r="H67" s="96">
        <v>59.1</v>
      </c>
      <c r="I67" s="94">
        <f t="shared" si="2"/>
        <v>0.37643312101910831</v>
      </c>
      <c r="J67" s="96"/>
      <c r="K67" s="83"/>
      <c r="L67" s="83"/>
      <c r="M67" s="44"/>
      <c r="N67" s="44"/>
      <c r="O67" s="44"/>
      <c r="P67" s="44"/>
    </row>
    <row r="68" spans="1:16" s="88" customFormat="1" ht="33" hidden="1" customHeight="1" x14ac:dyDescent="0.25">
      <c r="A68" s="107">
        <v>67</v>
      </c>
      <c r="B68" s="53" t="s">
        <v>160</v>
      </c>
      <c r="C68" s="53" t="s">
        <v>100</v>
      </c>
      <c r="D68" s="53" t="s">
        <v>25</v>
      </c>
      <c r="E68" s="14" t="s">
        <v>119</v>
      </c>
      <c r="F68" s="96">
        <v>10</v>
      </c>
      <c r="G68" s="96">
        <v>133.5</v>
      </c>
      <c r="H68" s="96">
        <v>46.75</v>
      </c>
      <c r="I68" s="94">
        <f t="shared" si="2"/>
        <v>0.35018726591760302</v>
      </c>
      <c r="J68" s="96"/>
      <c r="K68" s="84"/>
      <c r="L68" s="84"/>
      <c r="M68" s="84"/>
      <c r="N68" s="84"/>
      <c r="O68" s="84"/>
      <c r="P68" s="84"/>
    </row>
    <row r="69" spans="1:16" s="88" customFormat="1" ht="33" hidden="1" customHeight="1" x14ac:dyDescent="0.25">
      <c r="A69" s="107">
        <v>68</v>
      </c>
      <c r="B69" s="53" t="s">
        <v>195</v>
      </c>
      <c r="C69" s="53" t="s">
        <v>100</v>
      </c>
      <c r="D69" s="53" t="s">
        <v>25</v>
      </c>
      <c r="E69" s="14" t="s">
        <v>119</v>
      </c>
      <c r="F69" s="96">
        <v>10</v>
      </c>
      <c r="G69" s="96">
        <v>133.5</v>
      </c>
      <c r="H69" s="96">
        <v>40.25</v>
      </c>
      <c r="I69" s="94">
        <f t="shared" si="2"/>
        <v>0.30149812734082398</v>
      </c>
      <c r="J69" s="96"/>
      <c r="K69" s="44"/>
      <c r="L69" s="44"/>
      <c r="M69" s="83"/>
      <c r="N69" s="83"/>
      <c r="O69" s="83"/>
      <c r="P69" s="83"/>
    </row>
    <row r="70" spans="1:16" s="86" customFormat="1" ht="33" hidden="1" customHeight="1" x14ac:dyDescent="0.25">
      <c r="A70" s="107">
        <v>69</v>
      </c>
      <c r="B70" s="100" t="s">
        <v>91</v>
      </c>
      <c r="C70" s="100" t="s">
        <v>100</v>
      </c>
      <c r="D70" s="100" t="s">
        <v>25</v>
      </c>
      <c r="E70" s="14" t="s">
        <v>119</v>
      </c>
      <c r="F70" s="101">
        <v>11</v>
      </c>
      <c r="G70" s="101">
        <v>118.5</v>
      </c>
      <c r="H70" s="101">
        <v>31.25</v>
      </c>
      <c r="I70" s="94">
        <f t="shared" si="2"/>
        <v>0.26371308016877637</v>
      </c>
      <c r="J70" s="101"/>
      <c r="K70" s="44"/>
      <c r="L70" s="44"/>
      <c r="M70" s="44"/>
      <c r="N70" s="44"/>
      <c r="O70" s="44"/>
      <c r="P70" s="44"/>
    </row>
    <row r="71" spans="1:16" s="86" customFormat="1" ht="31.5" hidden="1" x14ac:dyDescent="0.25">
      <c r="A71" s="107">
        <v>70</v>
      </c>
      <c r="B71" s="106" t="s">
        <v>276</v>
      </c>
      <c r="C71" s="106" t="s">
        <v>272</v>
      </c>
      <c r="D71" s="14" t="s">
        <v>15</v>
      </c>
      <c r="E71" s="14" t="s">
        <v>152</v>
      </c>
      <c r="F71" s="98">
        <v>9</v>
      </c>
      <c r="G71" s="137">
        <v>100</v>
      </c>
      <c r="H71" s="92">
        <v>24</v>
      </c>
      <c r="I71" s="94">
        <f t="shared" si="2"/>
        <v>0.24</v>
      </c>
      <c r="J71" s="92"/>
      <c r="K71" s="44"/>
      <c r="L71" s="44"/>
      <c r="M71" s="44"/>
      <c r="N71" s="44"/>
      <c r="O71" s="44"/>
      <c r="P71" s="44"/>
    </row>
    <row r="72" spans="1:16" s="86" customFormat="1" ht="33" hidden="1" customHeight="1" x14ac:dyDescent="0.25">
      <c r="A72" s="107">
        <v>71</v>
      </c>
      <c r="B72" s="106" t="s">
        <v>145</v>
      </c>
      <c r="C72" s="106" t="s">
        <v>275</v>
      </c>
      <c r="D72" s="53" t="s">
        <v>253</v>
      </c>
      <c r="E72" s="14" t="s">
        <v>152</v>
      </c>
      <c r="F72" s="98">
        <v>10</v>
      </c>
      <c r="G72" s="137">
        <v>100</v>
      </c>
      <c r="H72" s="92">
        <v>26</v>
      </c>
      <c r="I72" s="94">
        <f t="shared" si="2"/>
        <v>0.26</v>
      </c>
      <c r="J72" s="92"/>
      <c r="K72" s="44"/>
      <c r="L72" s="44"/>
    </row>
    <row r="73" spans="1:16" s="86" customFormat="1" ht="33" hidden="1" customHeight="1" x14ac:dyDescent="0.25">
      <c r="A73" s="107">
        <v>72</v>
      </c>
      <c r="B73" s="108" t="s">
        <v>138</v>
      </c>
      <c r="C73" s="108" t="s">
        <v>85</v>
      </c>
      <c r="D73" s="53" t="s">
        <v>14</v>
      </c>
      <c r="E73" s="14" t="s">
        <v>152</v>
      </c>
      <c r="F73" s="98">
        <v>11</v>
      </c>
      <c r="G73" s="137">
        <v>100</v>
      </c>
      <c r="H73" s="92">
        <v>46.5</v>
      </c>
      <c r="I73" s="131">
        <f t="shared" si="2"/>
        <v>0.46500000000000002</v>
      </c>
      <c r="J73" s="96" t="s">
        <v>80</v>
      </c>
      <c r="K73" s="44"/>
      <c r="L73" s="44"/>
      <c r="M73" s="44"/>
      <c r="N73" s="44"/>
      <c r="O73" s="44"/>
      <c r="P73" s="44"/>
    </row>
    <row r="74" spans="1:16" s="86" customFormat="1" ht="33" hidden="1" customHeight="1" x14ac:dyDescent="0.25">
      <c r="A74" s="107">
        <v>73</v>
      </c>
      <c r="B74" s="106" t="s">
        <v>218</v>
      </c>
      <c r="C74" s="106" t="s">
        <v>85</v>
      </c>
      <c r="D74" s="53" t="s">
        <v>14</v>
      </c>
      <c r="E74" s="14" t="s">
        <v>152</v>
      </c>
      <c r="F74" s="98">
        <v>9</v>
      </c>
      <c r="G74" s="137">
        <v>100</v>
      </c>
      <c r="H74" s="92">
        <v>29</v>
      </c>
      <c r="I74" s="94">
        <f t="shared" si="2"/>
        <v>0.28999999999999998</v>
      </c>
      <c r="J74" s="92"/>
      <c r="K74" s="44"/>
      <c r="L74" s="44"/>
      <c r="M74" s="44"/>
      <c r="N74" s="44"/>
      <c r="O74" s="44"/>
      <c r="P74" s="44"/>
    </row>
    <row r="75" spans="1:16" s="86" customFormat="1" ht="33" hidden="1" customHeight="1" x14ac:dyDescent="0.25">
      <c r="A75" s="107">
        <v>74</v>
      </c>
      <c r="B75" s="106" t="s">
        <v>137</v>
      </c>
      <c r="C75" s="106" t="s">
        <v>85</v>
      </c>
      <c r="D75" s="53" t="s">
        <v>14</v>
      </c>
      <c r="E75" s="14" t="s">
        <v>152</v>
      </c>
      <c r="F75" s="98">
        <v>10</v>
      </c>
      <c r="G75" s="137">
        <v>100</v>
      </c>
      <c r="H75" s="92">
        <v>31</v>
      </c>
      <c r="I75" s="94">
        <f t="shared" si="2"/>
        <v>0.31</v>
      </c>
      <c r="J75" s="92"/>
      <c r="K75" s="44"/>
      <c r="L75" s="44"/>
      <c r="M75" s="44"/>
      <c r="N75" s="44"/>
      <c r="O75" s="44"/>
      <c r="P75" s="44"/>
    </row>
    <row r="76" spans="1:16" ht="31.5" hidden="1" x14ac:dyDescent="0.25">
      <c r="A76" s="107">
        <v>75</v>
      </c>
      <c r="B76" s="108" t="s">
        <v>140</v>
      </c>
      <c r="C76" s="106" t="s">
        <v>85</v>
      </c>
      <c r="D76" s="53" t="s">
        <v>14</v>
      </c>
      <c r="E76" s="14" t="s">
        <v>152</v>
      </c>
      <c r="F76" s="98">
        <v>11</v>
      </c>
      <c r="G76" s="137">
        <v>100</v>
      </c>
      <c r="H76" s="92">
        <v>37</v>
      </c>
      <c r="I76" s="94">
        <f t="shared" si="2"/>
        <v>0.37</v>
      </c>
      <c r="J76" s="92"/>
    </row>
    <row r="77" spans="1:16" ht="37.5" hidden="1" customHeight="1" x14ac:dyDescent="0.25">
      <c r="A77" s="107">
        <v>76</v>
      </c>
      <c r="B77" s="105" t="s">
        <v>271</v>
      </c>
      <c r="C77" s="105" t="s">
        <v>86</v>
      </c>
      <c r="D77" s="53" t="s">
        <v>13</v>
      </c>
      <c r="E77" s="14" t="s">
        <v>152</v>
      </c>
      <c r="F77" s="98">
        <v>9</v>
      </c>
      <c r="G77" s="137">
        <v>100</v>
      </c>
      <c r="H77" s="92">
        <v>51.5</v>
      </c>
      <c r="I77" s="94">
        <f t="shared" si="2"/>
        <v>0.51500000000000001</v>
      </c>
      <c r="J77" s="96" t="s">
        <v>18</v>
      </c>
    </row>
    <row r="78" spans="1:16" ht="31.5" hidden="1" x14ac:dyDescent="0.25">
      <c r="A78" s="107">
        <v>77</v>
      </c>
      <c r="B78" s="105" t="s">
        <v>216</v>
      </c>
      <c r="C78" s="105" t="s">
        <v>86</v>
      </c>
      <c r="D78" s="53" t="s">
        <v>13</v>
      </c>
      <c r="E78" s="14" t="s">
        <v>152</v>
      </c>
      <c r="F78" s="98">
        <v>11</v>
      </c>
      <c r="G78" s="137">
        <v>100</v>
      </c>
      <c r="H78" s="92">
        <v>53.5</v>
      </c>
      <c r="I78" s="131">
        <f t="shared" si="2"/>
        <v>0.53500000000000003</v>
      </c>
      <c r="J78" s="96" t="s">
        <v>18</v>
      </c>
    </row>
    <row r="79" spans="1:16" ht="31.5" hidden="1" x14ac:dyDescent="0.25">
      <c r="A79" s="107">
        <v>78</v>
      </c>
      <c r="B79" s="107" t="s">
        <v>150</v>
      </c>
      <c r="C79" s="105" t="s">
        <v>86</v>
      </c>
      <c r="D79" s="53" t="s">
        <v>13</v>
      </c>
      <c r="E79" s="14" t="s">
        <v>152</v>
      </c>
      <c r="F79" s="98">
        <v>10</v>
      </c>
      <c r="G79" s="137">
        <v>100</v>
      </c>
      <c r="H79" s="92">
        <v>46.5</v>
      </c>
      <c r="I79" s="131">
        <f t="shared" si="2"/>
        <v>0.46500000000000002</v>
      </c>
      <c r="J79" s="96" t="s">
        <v>80</v>
      </c>
    </row>
    <row r="80" spans="1:16" ht="31.5" hidden="1" x14ac:dyDescent="0.25">
      <c r="A80" s="107">
        <v>79</v>
      </c>
      <c r="B80" s="105" t="s">
        <v>133</v>
      </c>
      <c r="C80" s="105" t="s">
        <v>86</v>
      </c>
      <c r="D80" s="53" t="s">
        <v>13</v>
      </c>
      <c r="E80" s="14" t="s">
        <v>152</v>
      </c>
      <c r="F80" s="98">
        <v>9</v>
      </c>
      <c r="G80" s="137">
        <v>100</v>
      </c>
      <c r="H80" s="92">
        <v>26.5</v>
      </c>
      <c r="I80" s="131">
        <f t="shared" si="2"/>
        <v>0.26500000000000001</v>
      </c>
      <c r="J80" s="92"/>
    </row>
    <row r="81" spans="1:10" ht="31.5" hidden="1" x14ac:dyDescent="0.25">
      <c r="A81" s="107">
        <v>80</v>
      </c>
      <c r="B81" s="106" t="s">
        <v>105</v>
      </c>
      <c r="C81" s="106" t="s">
        <v>151</v>
      </c>
      <c r="D81" s="14" t="s">
        <v>25</v>
      </c>
      <c r="E81" s="14" t="s">
        <v>152</v>
      </c>
      <c r="F81" s="98">
        <v>10</v>
      </c>
      <c r="G81" s="137">
        <v>100</v>
      </c>
      <c r="H81" s="92">
        <v>67</v>
      </c>
      <c r="I81" s="94">
        <f t="shared" si="2"/>
        <v>0.67</v>
      </c>
      <c r="J81" s="96" t="s">
        <v>17</v>
      </c>
    </row>
    <row r="82" spans="1:10" ht="31.5" hidden="1" x14ac:dyDescent="0.25">
      <c r="A82" s="107">
        <v>81</v>
      </c>
      <c r="B82" s="106" t="s">
        <v>90</v>
      </c>
      <c r="C82" s="106" t="s">
        <v>151</v>
      </c>
      <c r="D82" s="14" t="s">
        <v>25</v>
      </c>
      <c r="E82" s="14" t="s">
        <v>152</v>
      </c>
      <c r="F82" s="98">
        <v>11</v>
      </c>
      <c r="G82" s="137">
        <v>100</v>
      </c>
      <c r="H82" s="92">
        <v>49</v>
      </c>
      <c r="I82" s="94">
        <f t="shared" si="2"/>
        <v>0.49</v>
      </c>
      <c r="J82" s="96" t="s">
        <v>80</v>
      </c>
    </row>
    <row r="83" spans="1:10" ht="31.5" hidden="1" x14ac:dyDescent="0.25">
      <c r="A83" s="107">
        <v>82</v>
      </c>
      <c r="B83" s="106" t="s">
        <v>273</v>
      </c>
      <c r="C83" s="106" t="s">
        <v>151</v>
      </c>
      <c r="D83" s="14" t="s">
        <v>25</v>
      </c>
      <c r="E83" s="14" t="s">
        <v>152</v>
      </c>
      <c r="F83" s="98">
        <v>9</v>
      </c>
      <c r="G83" s="137">
        <v>100</v>
      </c>
      <c r="H83" s="92">
        <v>22.5</v>
      </c>
      <c r="I83" s="94">
        <f t="shared" si="2"/>
        <v>0.22500000000000001</v>
      </c>
      <c r="J83" s="92"/>
    </row>
    <row r="84" spans="1:10" ht="31.5" hidden="1" x14ac:dyDescent="0.25">
      <c r="A84" s="107">
        <v>83</v>
      </c>
      <c r="B84" s="106" t="s">
        <v>274</v>
      </c>
      <c r="C84" s="106" t="s">
        <v>151</v>
      </c>
      <c r="D84" s="14" t="s">
        <v>25</v>
      </c>
      <c r="E84" s="14" t="s">
        <v>152</v>
      </c>
      <c r="F84" s="98">
        <v>10</v>
      </c>
      <c r="G84" s="137">
        <v>100</v>
      </c>
      <c r="H84" s="92">
        <v>36</v>
      </c>
      <c r="I84" s="94">
        <f t="shared" si="2"/>
        <v>0.36</v>
      </c>
      <c r="J84" s="92"/>
    </row>
    <row r="85" spans="1:10" ht="31.5" hidden="1" x14ac:dyDescent="0.25">
      <c r="A85" s="107">
        <v>84</v>
      </c>
      <c r="B85" s="109" t="s">
        <v>91</v>
      </c>
      <c r="C85" s="109" t="s">
        <v>151</v>
      </c>
      <c r="D85" s="109" t="s">
        <v>25</v>
      </c>
      <c r="E85" s="109" t="s">
        <v>152</v>
      </c>
      <c r="F85" s="92">
        <v>11</v>
      </c>
      <c r="G85" s="92">
        <v>100</v>
      </c>
      <c r="H85" s="92">
        <v>33.5</v>
      </c>
      <c r="I85" s="131">
        <f t="shared" si="2"/>
        <v>0.33500000000000002</v>
      </c>
      <c r="J85" s="92"/>
    </row>
    <row r="86" spans="1:10" ht="31.5" hidden="1" x14ac:dyDescent="0.25">
      <c r="A86" s="107">
        <v>85</v>
      </c>
      <c r="B86" s="109" t="s">
        <v>178</v>
      </c>
      <c r="C86" s="109" t="s">
        <v>394</v>
      </c>
      <c r="D86" s="109" t="s">
        <v>15</v>
      </c>
      <c r="E86" s="109" t="s">
        <v>173</v>
      </c>
      <c r="F86" s="92">
        <v>11</v>
      </c>
      <c r="G86" s="92">
        <v>400</v>
      </c>
      <c r="H86" s="104">
        <v>75</v>
      </c>
      <c r="I86" s="148">
        <f t="shared" si="2"/>
        <v>0.1875</v>
      </c>
      <c r="J86" s="96" t="s">
        <v>80</v>
      </c>
    </row>
    <row r="87" spans="1:10" ht="31.5" hidden="1" x14ac:dyDescent="0.25">
      <c r="A87" s="107">
        <v>86</v>
      </c>
      <c r="B87" s="109" t="s">
        <v>177</v>
      </c>
      <c r="C87" s="109" t="s">
        <v>395</v>
      </c>
      <c r="D87" s="109" t="s">
        <v>253</v>
      </c>
      <c r="E87" s="109" t="s">
        <v>173</v>
      </c>
      <c r="F87" s="92">
        <v>10</v>
      </c>
      <c r="G87" s="92">
        <v>400</v>
      </c>
      <c r="H87" s="95">
        <v>20</v>
      </c>
      <c r="I87" s="94">
        <f t="shared" si="2"/>
        <v>0.05</v>
      </c>
      <c r="J87" s="92"/>
    </row>
    <row r="88" spans="1:10" ht="31.5" hidden="1" x14ac:dyDescent="0.25">
      <c r="A88" s="107">
        <v>87</v>
      </c>
      <c r="B88" s="109" t="s">
        <v>260</v>
      </c>
      <c r="C88" s="109" t="s">
        <v>395</v>
      </c>
      <c r="D88" s="109" t="s">
        <v>253</v>
      </c>
      <c r="E88" s="109" t="s">
        <v>173</v>
      </c>
      <c r="F88" s="92">
        <v>9</v>
      </c>
      <c r="G88" s="92">
        <v>400</v>
      </c>
      <c r="H88" s="95"/>
      <c r="I88" s="94">
        <f t="shared" si="2"/>
        <v>0</v>
      </c>
      <c r="J88" s="92"/>
    </row>
    <row r="89" spans="1:10" ht="31.5" hidden="1" x14ac:dyDescent="0.25">
      <c r="A89" s="107">
        <v>88</v>
      </c>
      <c r="B89" s="109" t="s">
        <v>174</v>
      </c>
      <c r="C89" s="109" t="s">
        <v>175</v>
      </c>
      <c r="D89" s="109" t="s">
        <v>13</v>
      </c>
      <c r="E89" s="109" t="s">
        <v>173</v>
      </c>
      <c r="F89" s="92">
        <v>10</v>
      </c>
      <c r="G89" s="92">
        <v>400</v>
      </c>
      <c r="H89" s="95"/>
      <c r="I89" s="94">
        <f t="shared" si="2"/>
        <v>0</v>
      </c>
      <c r="J89" s="97"/>
    </row>
    <row r="90" spans="1:10" ht="31.5" hidden="1" x14ac:dyDescent="0.25">
      <c r="A90" s="107">
        <v>89</v>
      </c>
      <c r="B90" s="109" t="s">
        <v>93</v>
      </c>
      <c r="C90" s="109" t="s">
        <v>176</v>
      </c>
      <c r="D90" s="53" t="s">
        <v>25</v>
      </c>
      <c r="E90" s="109" t="s">
        <v>173</v>
      </c>
      <c r="F90" s="92">
        <v>10</v>
      </c>
      <c r="G90" s="92">
        <v>400</v>
      </c>
      <c r="H90" s="95">
        <v>115</v>
      </c>
      <c r="I90" s="149">
        <f t="shared" si="2"/>
        <v>0.28749999999999998</v>
      </c>
      <c r="J90" s="96" t="s">
        <v>17</v>
      </c>
    </row>
    <row r="91" spans="1:10" ht="31.5" hidden="1" x14ac:dyDescent="0.25">
      <c r="A91" s="107">
        <v>90</v>
      </c>
      <c r="B91" s="109" t="s">
        <v>88</v>
      </c>
      <c r="C91" s="109" t="s">
        <v>176</v>
      </c>
      <c r="D91" s="53" t="s">
        <v>25</v>
      </c>
      <c r="E91" s="109" t="s">
        <v>173</v>
      </c>
      <c r="F91" s="92">
        <v>11</v>
      </c>
      <c r="G91" s="92">
        <v>400</v>
      </c>
      <c r="H91" s="111">
        <v>290</v>
      </c>
      <c r="I91" s="149">
        <f t="shared" si="2"/>
        <v>0.72499999999999998</v>
      </c>
      <c r="J91" s="96" t="s">
        <v>19</v>
      </c>
    </row>
    <row r="92" spans="1:10" ht="31.5" hidden="1" x14ac:dyDescent="0.25">
      <c r="A92" s="107">
        <v>91</v>
      </c>
      <c r="B92" s="91" t="s">
        <v>178</v>
      </c>
      <c r="C92" s="91" t="s">
        <v>83</v>
      </c>
      <c r="D92" s="53" t="s">
        <v>15</v>
      </c>
      <c r="E92" s="14" t="s">
        <v>103</v>
      </c>
      <c r="F92" s="142">
        <v>11</v>
      </c>
      <c r="G92" s="139">
        <v>100</v>
      </c>
      <c r="H92" s="92">
        <v>21.5</v>
      </c>
      <c r="I92" s="131">
        <f t="shared" si="2"/>
        <v>0.215</v>
      </c>
      <c r="J92" s="92"/>
    </row>
    <row r="93" spans="1:10" ht="31.5" hidden="1" x14ac:dyDescent="0.25">
      <c r="A93" s="107">
        <v>92</v>
      </c>
      <c r="B93" s="91" t="s">
        <v>281</v>
      </c>
      <c r="C93" s="91" t="s">
        <v>89</v>
      </c>
      <c r="D93" s="51" t="s">
        <v>253</v>
      </c>
      <c r="E93" s="14" t="s">
        <v>103</v>
      </c>
      <c r="F93" s="142">
        <v>11</v>
      </c>
      <c r="G93" s="139">
        <v>100</v>
      </c>
      <c r="H93" s="92">
        <v>23</v>
      </c>
      <c r="I93" s="94">
        <f t="shared" si="2"/>
        <v>0.23</v>
      </c>
      <c r="J93" s="92"/>
    </row>
    <row r="94" spans="1:10" ht="31.5" hidden="1" x14ac:dyDescent="0.25">
      <c r="A94" s="107">
        <v>93</v>
      </c>
      <c r="B94" s="91" t="s">
        <v>282</v>
      </c>
      <c r="C94" s="91" t="s">
        <v>89</v>
      </c>
      <c r="D94" s="51" t="s">
        <v>253</v>
      </c>
      <c r="E94" s="14" t="s">
        <v>103</v>
      </c>
      <c r="F94" s="142">
        <v>11</v>
      </c>
      <c r="G94" s="139">
        <v>100</v>
      </c>
      <c r="H94" s="92">
        <v>18.5</v>
      </c>
      <c r="I94" s="131">
        <f t="shared" si="2"/>
        <v>0.185</v>
      </c>
      <c r="J94" s="92"/>
    </row>
    <row r="95" spans="1:10" ht="31.5" hidden="1" x14ac:dyDescent="0.25">
      <c r="A95" s="107">
        <v>94</v>
      </c>
      <c r="B95" s="91" t="s">
        <v>246</v>
      </c>
      <c r="C95" s="91" t="s">
        <v>165</v>
      </c>
      <c r="D95" s="53" t="s">
        <v>14</v>
      </c>
      <c r="E95" s="14" t="s">
        <v>103</v>
      </c>
      <c r="F95" s="142">
        <v>10</v>
      </c>
      <c r="G95" s="139">
        <v>100</v>
      </c>
      <c r="H95" s="96">
        <v>56.5</v>
      </c>
      <c r="I95" s="131">
        <f t="shared" si="2"/>
        <v>0.56499999999999995</v>
      </c>
      <c r="J95" s="96" t="s">
        <v>18</v>
      </c>
    </row>
    <row r="96" spans="1:10" ht="31.5" hidden="1" x14ac:dyDescent="0.25">
      <c r="A96" s="107">
        <v>95</v>
      </c>
      <c r="B96" s="91" t="s">
        <v>209</v>
      </c>
      <c r="C96" s="91" t="s">
        <v>165</v>
      </c>
      <c r="D96" s="53" t="s">
        <v>14</v>
      </c>
      <c r="E96" s="14" t="s">
        <v>103</v>
      </c>
      <c r="F96" s="142">
        <v>10</v>
      </c>
      <c r="G96" s="139">
        <v>100</v>
      </c>
      <c r="H96" s="96">
        <v>41</v>
      </c>
      <c r="I96" s="94">
        <f t="shared" si="2"/>
        <v>0.41</v>
      </c>
      <c r="J96" s="96" t="s">
        <v>80</v>
      </c>
    </row>
    <row r="97" spans="1:16" ht="31.5" hidden="1" x14ac:dyDescent="0.25">
      <c r="A97" s="107">
        <v>96</v>
      </c>
      <c r="B97" s="91" t="s">
        <v>267</v>
      </c>
      <c r="C97" s="91" t="s">
        <v>165</v>
      </c>
      <c r="D97" s="53" t="s">
        <v>14</v>
      </c>
      <c r="E97" s="14" t="s">
        <v>103</v>
      </c>
      <c r="F97" s="142">
        <v>10</v>
      </c>
      <c r="G97" s="139">
        <v>100</v>
      </c>
      <c r="H97" s="92">
        <v>40</v>
      </c>
      <c r="I97" s="94">
        <f t="shared" si="2"/>
        <v>0.4</v>
      </c>
      <c r="J97" s="96" t="s">
        <v>80</v>
      </c>
    </row>
    <row r="98" spans="1:16" ht="31.5" hidden="1" x14ac:dyDescent="0.25">
      <c r="A98" s="107">
        <v>97</v>
      </c>
      <c r="B98" s="91" t="s">
        <v>283</v>
      </c>
      <c r="C98" s="91" t="s">
        <v>104</v>
      </c>
      <c r="D98" s="53" t="s">
        <v>14</v>
      </c>
      <c r="E98" s="14" t="s">
        <v>103</v>
      </c>
      <c r="F98" s="142">
        <v>11</v>
      </c>
      <c r="G98" s="139">
        <v>100</v>
      </c>
      <c r="H98" s="92">
        <v>0</v>
      </c>
      <c r="I98" s="94">
        <f t="shared" ref="I98:I129" si="3">H98/G98</f>
        <v>0</v>
      </c>
      <c r="J98" s="92"/>
    </row>
    <row r="99" spans="1:16" ht="31.5" hidden="1" x14ac:dyDescent="0.25">
      <c r="A99" s="107">
        <v>98</v>
      </c>
      <c r="B99" s="93" t="s">
        <v>279</v>
      </c>
      <c r="C99" s="93" t="s">
        <v>214</v>
      </c>
      <c r="D99" s="51" t="s">
        <v>13</v>
      </c>
      <c r="E99" s="14" t="s">
        <v>103</v>
      </c>
      <c r="F99" s="142">
        <v>10</v>
      </c>
      <c r="G99" s="139">
        <v>100</v>
      </c>
      <c r="H99" s="96">
        <v>31.5</v>
      </c>
      <c r="I99" s="131">
        <f t="shared" si="3"/>
        <v>0.315</v>
      </c>
      <c r="J99" s="92"/>
    </row>
    <row r="100" spans="1:16" ht="31.5" hidden="1" x14ac:dyDescent="0.25">
      <c r="A100" s="107">
        <v>99</v>
      </c>
      <c r="B100" s="93" t="s">
        <v>142</v>
      </c>
      <c r="C100" s="93" t="s">
        <v>81</v>
      </c>
      <c r="D100" s="51" t="s">
        <v>13</v>
      </c>
      <c r="E100" s="14" t="s">
        <v>103</v>
      </c>
      <c r="F100" s="142">
        <v>11</v>
      </c>
      <c r="G100" s="139">
        <v>100</v>
      </c>
      <c r="H100" s="92">
        <v>34</v>
      </c>
      <c r="I100" s="94">
        <f t="shared" si="3"/>
        <v>0.34</v>
      </c>
      <c r="J100" s="92"/>
    </row>
    <row r="101" spans="1:16" ht="31.5" hidden="1" x14ac:dyDescent="0.25">
      <c r="A101" s="107">
        <v>100</v>
      </c>
      <c r="B101" s="93" t="s">
        <v>277</v>
      </c>
      <c r="C101" s="93" t="s">
        <v>278</v>
      </c>
      <c r="D101" s="14" t="s">
        <v>25</v>
      </c>
      <c r="E101" s="14" t="s">
        <v>103</v>
      </c>
      <c r="F101" s="142">
        <v>10</v>
      </c>
      <c r="G101" s="139">
        <v>100</v>
      </c>
      <c r="H101" s="96">
        <v>33.5</v>
      </c>
      <c r="I101" s="131">
        <f t="shared" si="3"/>
        <v>0.33500000000000002</v>
      </c>
      <c r="J101" s="96"/>
    </row>
    <row r="102" spans="1:16" ht="31.5" hidden="1" x14ac:dyDescent="0.25">
      <c r="A102" s="107">
        <v>101</v>
      </c>
      <c r="B102" s="106" t="s">
        <v>206</v>
      </c>
      <c r="C102" s="91" t="s">
        <v>82</v>
      </c>
      <c r="D102" s="14" t="s">
        <v>25</v>
      </c>
      <c r="E102" s="14" t="s">
        <v>103</v>
      </c>
      <c r="F102" s="142">
        <v>10</v>
      </c>
      <c r="G102" s="139">
        <v>100</v>
      </c>
      <c r="H102" s="92">
        <v>31</v>
      </c>
      <c r="I102" s="94">
        <f t="shared" si="3"/>
        <v>0.31</v>
      </c>
      <c r="J102" s="92"/>
    </row>
    <row r="103" spans="1:16" ht="31.5" hidden="1" x14ac:dyDescent="0.25">
      <c r="A103" s="107">
        <v>102</v>
      </c>
      <c r="B103" s="91" t="s">
        <v>280</v>
      </c>
      <c r="C103" s="91" t="s">
        <v>84</v>
      </c>
      <c r="D103" s="14" t="s">
        <v>25</v>
      </c>
      <c r="E103" s="14" t="s">
        <v>103</v>
      </c>
      <c r="F103" s="142">
        <v>10</v>
      </c>
      <c r="G103" s="139">
        <v>100</v>
      </c>
      <c r="H103" s="96">
        <v>21</v>
      </c>
      <c r="I103" s="94">
        <f t="shared" si="3"/>
        <v>0.21</v>
      </c>
      <c r="J103" s="96"/>
      <c r="M103" s="86"/>
      <c r="N103" s="86"/>
      <c r="O103" s="86"/>
      <c r="P103" s="86"/>
    </row>
    <row r="104" spans="1:16" ht="31.5" hidden="1" x14ac:dyDescent="0.25">
      <c r="A104" s="107">
        <v>103</v>
      </c>
      <c r="B104" s="91" t="s">
        <v>112</v>
      </c>
      <c r="C104" s="91" t="s">
        <v>82</v>
      </c>
      <c r="D104" s="14" t="s">
        <v>25</v>
      </c>
      <c r="E104" s="14" t="s">
        <v>103</v>
      </c>
      <c r="F104" s="142">
        <v>11</v>
      </c>
      <c r="G104" s="139">
        <v>100</v>
      </c>
      <c r="H104" s="92">
        <v>34.5</v>
      </c>
      <c r="I104" s="131">
        <f t="shared" si="3"/>
        <v>0.34499999999999997</v>
      </c>
      <c r="J104" s="92"/>
    </row>
    <row r="105" spans="1:16" ht="30" hidden="1" x14ac:dyDescent="0.25">
      <c r="A105" s="107">
        <v>104</v>
      </c>
      <c r="B105" s="112" t="s">
        <v>264</v>
      </c>
      <c r="C105" s="112" t="s">
        <v>265</v>
      </c>
      <c r="D105" s="112" t="s">
        <v>15</v>
      </c>
      <c r="E105" s="14" t="s">
        <v>109</v>
      </c>
      <c r="F105" s="113">
        <v>9</v>
      </c>
      <c r="G105" s="113">
        <v>35</v>
      </c>
      <c r="H105" s="113">
        <v>2</v>
      </c>
      <c r="I105" s="94">
        <f t="shared" si="3"/>
        <v>5.7142857142857141E-2</v>
      </c>
      <c r="J105" s="113"/>
    </row>
    <row r="106" spans="1:16" ht="30" hidden="1" x14ac:dyDescent="0.25">
      <c r="A106" s="107">
        <v>105</v>
      </c>
      <c r="B106" s="51" t="s">
        <v>178</v>
      </c>
      <c r="C106" s="51" t="s">
        <v>269</v>
      </c>
      <c r="D106" s="51" t="s">
        <v>15</v>
      </c>
      <c r="E106" s="14" t="s">
        <v>109</v>
      </c>
      <c r="F106" s="97">
        <v>11</v>
      </c>
      <c r="G106" s="97">
        <v>170</v>
      </c>
      <c r="H106" s="97">
        <v>5</v>
      </c>
      <c r="I106" s="94">
        <f t="shared" si="3"/>
        <v>2.9411764705882353E-2</v>
      </c>
      <c r="J106" s="97"/>
    </row>
    <row r="107" spans="1:16" ht="30" hidden="1" x14ac:dyDescent="0.25">
      <c r="A107" s="107">
        <v>106</v>
      </c>
      <c r="B107" s="51" t="s">
        <v>266</v>
      </c>
      <c r="C107" s="51" t="s">
        <v>127</v>
      </c>
      <c r="D107" s="51" t="s">
        <v>253</v>
      </c>
      <c r="E107" s="14" t="s">
        <v>109</v>
      </c>
      <c r="F107" s="97">
        <v>10</v>
      </c>
      <c r="G107" s="97">
        <v>35</v>
      </c>
      <c r="H107" s="97">
        <v>15</v>
      </c>
      <c r="I107" s="94">
        <f t="shared" si="3"/>
        <v>0.42857142857142855</v>
      </c>
      <c r="J107" s="97" t="s">
        <v>80</v>
      </c>
    </row>
    <row r="108" spans="1:16" ht="30" hidden="1" x14ac:dyDescent="0.25">
      <c r="A108" s="107">
        <v>107</v>
      </c>
      <c r="B108" s="51" t="s">
        <v>258</v>
      </c>
      <c r="C108" s="51" t="s">
        <v>111</v>
      </c>
      <c r="D108" s="51" t="s">
        <v>253</v>
      </c>
      <c r="E108" s="14" t="s">
        <v>109</v>
      </c>
      <c r="F108" s="97">
        <v>8</v>
      </c>
      <c r="G108" s="97">
        <v>35</v>
      </c>
      <c r="H108" s="97">
        <v>5</v>
      </c>
      <c r="I108" s="94">
        <f t="shared" si="3"/>
        <v>0.14285714285714285</v>
      </c>
      <c r="J108" s="97"/>
      <c r="M108" s="84"/>
      <c r="N108" s="84"/>
      <c r="O108" s="84"/>
      <c r="P108" s="84"/>
    </row>
    <row r="109" spans="1:16" ht="30" hidden="1" x14ac:dyDescent="0.25">
      <c r="A109" s="107">
        <v>108</v>
      </c>
      <c r="B109" s="51" t="s">
        <v>259</v>
      </c>
      <c r="C109" s="51" t="s">
        <v>111</v>
      </c>
      <c r="D109" s="51" t="s">
        <v>253</v>
      </c>
      <c r="E109" s="14" t="s">
        <v>109</v>
      </c>
      <c r="F109" s="97">
        <v>8</v>
      </c>
      <c r="G109" s="97">
        <v>35</v>
      </c>
      <c r="H109" s="97">
        <v>5</v>
      </c>
      <c r="I109" s="94">
        <f t="shared" si="3"/>
        <v>0.14285714285714285</v>
      </c>
      <c r="J109" s="97"/>
    </row>
    <row r="110" spans="1:16" ht="30" hidden="1" x14ac:dyDescent="0.25">
      <c r="A110" s="107">
        <v>109</v>
      </c>
      <c r="B110" s="51" t="s">
        <v>260</v>
      </c>
      <c r="C110" s="51" t="s">
        <v>111</v>
      </c>
      <c r="D110" s="51" t="s">
        <v>253</v>
      </c>
      <c r="E110" s="14" t="s">
        <v>109</v>
      </c>
      <c r="F110" s="97">
        <v>8</v>
      </c>
      <c r="G110" s="97">
        <v>35</v>
      </c>
      <c r="H110" s="97">
        <v>10</v>
      </c>
      <c r="I110" s="94">
        <f t="shared" si="3"/>
        <v>0.2857142857142857</v>
      </c>
      <c r="J110" s="97"/>
    </row>
    <row r="111" spans="1:16" ht="30" hidden="1" x14ac:dyDescent="0.25">
      <c r="A111" s="107">
        <v>110</v>
      </c>
      <c r="B111" s="51" t="s">
        <v>126</v>
      </c>
      <c r="C111" s="51" t="s">
        <v>111</v>
      </c>
      <c r="D111" s="51" t="s">
        <v>253</v>
      </c>
      <c r="E111" s="14" t="s">
        <v>109</v>
      </c>
      <c r="F111" s="97">
        <v>9</v>
      </c>
      <c r="G111" s="97">
        <v>35</v>
      </c>
      <c r="H111" s="97">
        <v>10</v>
      </c>
      <c r="I111" s="94">
        <f t="shared" si="3"/>
        <v>0.2857142857142857</v>
      </c>
      <c r="J111" s="97"/>
      <c r="M111" s="84"/>
      <c r="N111" s="84"/>
      <c r="O111" s="84"/>
      <c r="P111" s="84"/>
    </row>
    <row r="112" spans="1:16" ht="30" hidden="1" x14ac:dyDescent="0.25">
      <c r="A112" s="107">
        <v>111</v>
      </c>
      <c r="B112" s="51" t="s">
        <v>262</v>
      </c>
      <c r="C112" s="51" t="s">
        <v>111</v>
      </c>
      <c r="D112" s="51" t="s">
        <v>253</v>
      </c>
      <c r="E112" s="14" t="s">
        <v>109</v>
      </c>
      <c r="F112" s="97">
        <v>9</v>
      </c>
      <c r="G112" s="97">
        <v>35</v>
      </c>
      <c r="H112" s="97">
        <v>12</v>
      </c>
      <c r="I112" s="94">
        <f t="shared" si="3"/>
        <v>0.34285714285714286</v>
      </c>
      <c r="J112" s="97"/>
    </row>
    <row r="113" spans="1:16" ht="30" hidden="1" x14ac:dyDescent="0.25">
      <c r="A113" s="107">
        <v>112</v>
      </c>
      <c r="B113" s="51" t="s">
        <v>79</v>
      </c>
      <c r="C113" s="51" t="s">
        <v>111</v>
      </c>
      <c r="D113" s="51" t="s">
        <v>253</v>
      </c>
      <c r="E113" s="14" t="s">
        <v>109</v>
      </c>
      <c r="F113" s="97">
        <v>11</v>
      </c>
      <c r="G113" s="97">
        <v>35</v>
      </c>
      <c r="H113" s="97">
        <v>6</v>
      </c>
      <c r="I113" s="94">
        <f t="shared" si="3"/>
        <v>0.17142857142857143</v>
      </c>
      <c r="J113" s="97"/>
    </row>
    <row r="114" spans="1:16" ht="30" hidden="1" x14ac:dyDescent="0.25">
      <c r="A114" s="107">
        <v>113</v>
      </c>
      <c r="B114" s="51" t="s">
        <v>263</v>
      </c>
      <c r="C114" s="51" t="s">
        <v>130</v>
      </c>
      <c r="D114" s="51" t="s">
        <v>14</v>
      </c>
      <c r="E114" s="14" t="s">
        <v>109</v>
      </c>
      <c r="F114" s="97">
        <v>9</v>
      </c>
      <c r="G114" s="97">
        <v>35</v>
      </c>
      <c r="H114" s="97">
        <v>7</v>
      </c>
      <c r="I114" s="94">
        <f t="shared" si="3"/>
        <v>0.2</v>
      </c>
      <c r="J114" s="97"/>
      <c r="M114" s="84"/>
      <c r="N114" s="84"/>
      <c r="O114" s="84"/>
      <c r="P114" s="84"/>
    </row>
    <row r="115" spans="1:16" ht="30" hidden="1" x14ac:dyDescent="0.25">
      <c r="A115" s="107">
        <v>114</v>
      </c>
      <c r="B115" s="51" t="s">
        <v>267</v>
      </c>
      <c r="C115" s="51" t="s">
        <v>107</v>
      </c>
      <c r="D115" s="51" t="s">
        <v>14</v>
      </c>
      <c r="E115" s="14" t="s">
        <v>109</v>
      </c>
      <c r="F115" s="97">
        <v>10</v>
      </c>
      <c r="G115" s="97">
        <v>35</v>
      </c>
      <c r="H115" s="97">
        <v>2</v>
      </c>
      <c r="I115" s="94">
        <f t="shared" si="3"/>
        <v>5.7142857142857141E-2</v>
      </c>
      <c r="J115" s="97"/>
      <c r="M115" s="84"/>
      <c r="N115" s="84"/>
      <c r="O115" s="84"/>
      <c r="P115" s="84"/>
    </row>
    <row r="116" spans="1:16" ht="30" hidden="1" x14ac:dyDescent="0.25">
      <c r="A116" s="107">
        <v>115</v>
      </c>
      <c r="B116" s="51" t="s">
        <v>254</v>
      </c>
      <c r="C116" s="51" t="s">
        <v>108</v>
      </c>
      <c r="D116" s="51" t="s">
        <v>13</v>
      </c>
      <c r="E116" s="14" t="s">
        <v>109</v>
      </c>
      <c r="F116" s="97">
        <v>8</v>
      </c>
      <c r="G116" s="97">
        <v>35</v>
      </c>
      <c r="H116" s="97">
        <v>14</v>
      </c>
      <c r="I116" s="94">
        <f t="shared" si="3"/>
        <v>0.4</v>
      </c>
      <c r="J116" s="97" t="s">
        <v>80</v>
      </c>
      <c r="M116" s="84"/>
      <c r="N116" s="84"/>
      <c r="O116" s="84"/>
      <c r="P116" s="84"/>
    </row>
    <row r="117" spans="1:16" ht="30" hidden="1" x14ac:dyDescent="0.25">
      <c r="A117" s="107">
        <v>116</v>
      </c>
      <c r="B117" s="51" t="s">
        <v>132</v>
      </c>
      <c r="C117" s="51" t="s">
        <v>134</v>
      </c>
      <c r="D117" s="51" t="s">
        <v>13</v>
      </c>
      <c r="E117" s="14" t="s">
        <v>109</v>
      </c>
      <c r="F117" s="97">
        <v>9</v>
      </c>
      <c r="G117" s="97">
        <v>35</v>
      </c>
      <c r="H117" s="97">
        <v>10</v>
      </c>
      <c r="I117" s="94">
        <f t="shared" si="3"/>
        <v>0.2857142857142857</v>
      </c>
      <c r="J117" s="97"/>
      <c r="M117" s="86"/>
      <c r="N117" s="86"/>
      <c r="O117" s="86"/>
      <c r="P117" s="86"/>
    </row>
    <row r="118" spans="1:16" ht="30" hidden="1" x14ac:dyDescent="0.25">
      <c r="A118" s="107">
        <v>117</v>
      </c>
      <c r="B118" s="51" t="s">
        <v>261</v>
      </c>
      <c r="C118" s="51" t="s">
        <v>134</v>
      </c>
      <c r="D118" s="51" t="s">
        <v>13</v>
      </c>
      <c r="E118" s="14" t="s">
        <v>109</v>
      </c>
      <c r="F118" s="97">
        <v>9</v>
      </c>
      <c r="G118" s="97">
        <v>35</v>
      </c>
      <c r="H118" s="97">
        <v>11</v>
      </c>
      <c r="I118" s="94">
        <f t="shared" si="3"/>
        <v>0.31428571428571428</v>
      </c>
      <c r="J118" s="97"/>
    </row>
    <row r="119" spans="1:16" ht="30" hidden="1" x14ac:dyDescent="0.25">
      <c r="A119" s="107">
        <v>118</v>
      </c>
      <c r="B119" s="51" t="s">
        <v>150</v>
      </c>
      <c r="C119" s="51" t="s">
        <v>108</v>
      </c>
      <c r="D119" s="51" t="s">
        <v>13</v>
      </c>
      <c r="E119" s="14" t="s">
        <v>109</v>
      </c>
      <c r="F119" s="97">
        <v>10</v>
      </c>
      <c r="G119" s="97">
        <v>35</v>
      </c>
      <c r="H119" s="97">
        <v>7</v>
      </c>
      <c r="I119" s="94">
        <f t="shared" si="3"/>
        <v>0.2</v>
      </c>
      <c r="J119" s="97"/>
    </row>
    <row r="120" spans="1:16" ht="30" hidden="1" x14ac:dyDescent="0.25">
      <c r="A120" s="107">
        <v>119</v>
      </c>
      <c r="B120" s="51" t="s">
        <v>105</v>
      </c>
      <c r="C120" s="51" t="s">
        <v>106</v>
      </c>
      <c r="D120" s="51" t="s">
        <v>25</v>
      </c>
      <c r="E120" s="14" t="s">
        <v>109</v>
      </c>
      <c r="F120" s="97">
        <v>10</v>
      </c>
      <c r="G120" s="97">
        <v>35</v>
      </c>
      <c r="H120" s="97">
        <v>20</v>
      </c>
      <c r="I120" s="94">
        <f t="shared" si="3"/>
        <v>0.5714285714285714</v>
      </c>
      <c r="J120" s="97" t="s">
        <v>18</v>
      </c>
    </row>
    <row r="121" spans="1:16" ht="30" hidden="1" x14ac:dyDescent="0.25">
      <c r="A121" s="107">
        <v>120</v>
      </c>
      <c r="B121" s="51" t="s">
        <v>88</v>
      </c>
      <c r="C121" s="51" t="s">
        <v>110</v>
      </c>
      <c r="D121" s="51" t="s">
        <v>25</v>
      </c>
      <c r="E121" s="14" t="s">
        <v>109</v>
      </c>
      <c r="F121" s="97">
        <v>11</v>
      </c>
      <c r="G121" s="97">
        <v>35</v>
      </c>
      <c r="H121" s="97">
        <v>16</v>
      </c>
      <c r="I121" s="94">
        <f t="shared" si="3"/>
        <v>0.45714285714285713</v>
      </c>
      <c r="J121" s="97" t="s">
        <v>80</v>
      </c>
      <c r="M121" s="83"/>
      <c r="N121" s="83"/>
      <c r="O121" s="83"/>
      <c r="P121" s="83"/>
    </row>
    <row r="122" spans="1:16" ht="30" hidden="1" x14ac:dyDescent="0.25">
      <c r="A122" s="107">
        <v>121</v>
      </c>
      <c r="B122" s="51" t="s">
        <v>255</v>
      </c>
      <c r="C122" s="51" t="s">
        <v>110</v>
      </c>
      <c r="D122" s="51" t="s">
        <v>25</v>
      </c>
      <c r="E122" s="14" t="s">
        <v>109</v>
      </c>
      <c r="F122" s="97">
        <v>8</v>
      </c>
      <c r="G122" s="97">
        <v>35</v>
      </c>
      <c r="H122" s="97">
        <v>12</v>
      </c>
      <c r="I122" s="94">
        <f t="shared" si="3"/>
        <v>0.34285714285714286</v>
      </c>
      <c r="J122" s="97"/>
    </row>
    <row r="123" spans="1:16" ht="30" hidden="1" x14ac:dyDescent="0.25">
      <c r="A123" s="107">
        <v>122</v>
      </c>
      <c r="B123" s="51" t="s">
        <v>256</v>
      </c>
      <c r="C123" s="51" t="s">
        <v>106</v>
      </c>
      <c r="D123" s="51" t="s">
        <v>25</v>
      </c>
      <c r="E123" s="14" t="s">
        <v>109</v>
      </c>
      <c r="F123" s="97">
        <v>8</v>
      </c>
      <c r="G123" s="97">
        <v>35</v>
      </c>
      <c r="H123" s="97">
        <v>11</v>
      </c>
      <c r="I123" s="94">
        <f t="shared" si="3"/>
        <v>0.31428571428571428</v>
      </c>
      <c r="J123" s="97"/>
      <c r="M123" s="85"/>
      <c r="N123" s="85">
        <f>COUNTIFS('Самопроверка по школам'!J2:J73,"II",'Самопроверка по школам'!E2:E73,"Трудовое обучение",'Самопроверка по школам'!D2:D73,"СШ №1 г.Сенно")+COUNTIFS('Самопроверка по школам'!J2:J73,"I",'Самопроверка по школам'!E2:E73,"Трудовое обучение",'Самопроверка по школам'!D2:D73,"СШ №1 г.Сенно")+COUNTIFS('Самопроверка по школам'!J2:J73,"III",'Самопроверка по школам'!E2:E73,"Трудовое обучение",'Самопроверка по школам'!D2:D73,"СШ №1 г.Сенно")</f>
        <v>0</v>
      </c>
      <c r="O123" s="85"/>
      <c r="P123" s="85"/>
    </row>
    <row r="124" spans="1:16" ht="30" hidden="1" x14ac:dyDescent="0.25">
      <c r="A124" s="107">
        <v>123</v>
      </c>
      <c r="B124" s="51" t="s">
        <v>257</v>
      </c>
      <c r="C124" s="51" t="s">
        <v>106</v>
      </c>
      <c r="D124" s="51" t="s">
        <v>25</v>
      </c>
      <c r="E124" s="14" t="s">
        <v>109</v>
      </c>
      <c r="F124" s="97">
        <v>8</v>
      </c>
      <c r="G124" s="97">
        <v>35</v>
      </c>
      <c r="H124" s="97">
        <v>12</v>
      </c>
      <c r="I124" s="94">
        <f t="shared" si="3"/>
        <v>0.34285714285714286</v>
      </c>
      <c r="J124" s="97"/>
    </row>
    <row r="125" spans="1:16" ht="30" hidden="1" x14ac:dyDescent="0.25">
      <c r="A125" s="107">
        <v>124</v>
      </c>
      <c r="B125" s="51" t="s">
        <v>131</v>
      </c>
      <c r="C125" s="51" t="s">
        <v>106</v>
      </c>
      <c r="D125" s="51" t="s">
        <v>25</v>
      </c>
      <c r="E125" s="14" t="s">
        <v>109</v>
      </c>
      <c r="F125" s="97">
        <v>9</v>
      </c>
      <c r="G125" s="97">
        <v>35</v>
      </c>
      <c r="H125" s="97">
        <v>11</v>
      </c>
      <c r="I125" s="94">
        <f t="shared" si="3"/>
        <v>0.31428571428571428</v>
      </c>
      <c r="J125" s="97"/>
      <c r="M125" s="84"/>
      <c r="N125" s="84"/>
      <c r="O125" s="84"/>
      <c r="P125" s="84"/>
    </row>
    <row r="126" spans="1:16" ht="30" hidden="1" x14ac:dyDescent="0.25">
      <c r="A126" s="107">
        <v>125</v>
      </c>
      <c r="B126" s="51" t="s">
        <v>93</v>
      </c>
      <c r="C126" s="51" t="s">
        <v>106</v>
      </c>
      <c r="D126" s="51" t="s">
        <v>25</v>
      </c>
      <c r="E126" s="14" t="s">
        <v>109</v>
      </c>
      <c r="F126" s="97">
        <v>10</v>
      </c>
      <c r="G126" s="97">
        <v>35</v>
      </c>
      <c r="H126" s="97">
        <v>11</v>
      </c>
      <c r="I126" s="94">
        <f t="shared" si="3"/>
        <v>0.31428571428571428</v>
      </c>
      <c r="J126" s="97"/>
      <c r="M126" s="83"/>
      <c r="N126" s="83"/>
      <c r="O126" s="83"/>
      <c r="P126" s="83"/>
    </row>
    <row r="127" spans="1:16" ht="30" hidden="1" x14ac:dyDescent="0.25">
      <c r="A127" s="107">
        <v>126</v>
      </c>
      <c r="B127" s="117" t="s">
        <v>268</v>
      </c>
      <c r="C127" s="117" t="s">
        <v>110</v>
      </c>
      <c r="D127" s="117" t="s">
        <v>25</v>
      </c>
      <c r="E127" s="14" t="s">
        <v>109</v>
      </c>
      <c r="F127" s="118">
        <v>11</v>
      </c>
      <c r="G127" s="118">
        <v>35</v>
      </c>
      <c r="H127" s="118">
        <v>2</v>
      </c>
      <c r="I127" s="94">
        <f t="shared" si="3"/>
        <v>5.7142857142857141E-2</v>
      </c>
      <c r="J127" s="118"/>
      <c r="M127" s="83"/>
      <c r="N127" s="83"/>
      <c r="O127" s="83"/>
      <c r="P127" s="83"/>
    </row>
    <row r="128" spans="1:16" ht="30" hidden="1" x14ac:dyDescent="0.25">
      <c r="A128" s="107">
        <v>127</v>
      </c>
      <c r="B128" s="51" t="s">
        <v>328</v>
      </c>
      <c r="C128" s="51" t="s">
        <v>153</v>
      </c>
      <c r="D128" s="51" t="s">
        <v>253</v>
      </c>
      <c r="E128" s="14" t="s">
        <v>166</v>
      </c>
      <c r="F128" s="143">
        <v>11</v>
      </c>
      <c r="G128" s="97">
        <v>170</v>
      </c>
      <c r="H128" s="97">
        <v>107.5</v>
      </c>
      <c r="I128" s="131">
        <f t="shared" si="3"/>
        <v>0.63235294117647056</v>
      </c>
      <c r="J128" s="97" t="s">
        <v>17</v>
      </c>
      <c r="M128" s="84"/>
      <c r="N128" s="84"/>
      <c r="O128" s="84"/>
      <c r="P128" s="84"/>
    </row>
    <row r="129" spans="1:16" ht="30" hidden="1" x14ac:dyDescent="0.25">
      <c r="A129" s="107">
        <v>128</v>
      </c>
      <c r="B129" s="51" t="s">
        <v>327</v>
      </c>
      <c r="C129" s="51" t="s">
        <v>154</v>
      </c>
      <c r="D129" s="51" t="s">
        <v>14</v>
      </c>
      <c r="E129" s="14" t="s">
        <v>166</v>
      </c>
      <c r="F129" s="143">
        <v>10</v>
      </c>
      <c r="G129" s="97">
        <v>170</v>
      </c>
      <c r="H129" s="97">
        <v>62.5</v>
      </c>
      <c r="I129" s="131">
        <f t="shared" si="3"/>
        <v>0.36764705882352944</v>
      </c>
      <c r="J129" s="97"/>
      <c r="M129" s="83"/>
      <c r="N129" s="83"/>
      <c r="O129" s="83"/>
      <c r="P129" s="83"/>
    </row>
    <row r="130" spans="1:16" ht="30" hidden="1" x14ac:dyDescent="0.25">
      <c r="A130" s="107">
        <v>129</v>
      </c>
      <c r="B130" s="51" t="s">
        <v>263</v>
      </c>
      <c r="C130" s="51" t="s">
        <v>154</v>
      </c>
      <c r="D130" s="51" t="s">
        <v>14</v>
      </c>
      <c r="E130" s="14" t="s">
        <v>166</v>
      </c>
      <c r="F130" s="143">
        <v>10</v>
      </c>
      <c r="G130" s="97">
        <v>170</v>
      </c>
      <c r="H130" s="97">
        <v>50.5</v>
      </c>
      <c r="I130" s="131">
        <f t="shared" ref="I130:I161" si="4">H130/G130</f>
        <v>0.29705882352941176</v>
      </c>
      <c r="J130" s="97"/>
      <c r="M130" s="84"/>
      <c r="N130" s="84"/>
      <c r="O130" s="84"/>
      <c r="P130" s="84"/>
    </row>
    <row r="131" spans="1:16" ht="31.5" hidden="1" x14ac:dyDescent="0.25">
      <c r="A131" s="107">
        <v>130</v>
      </c>
      <c r="B131" s="102" t="s">
        <v>157</v>
      </c>
      <c r="C131" s="102" t="s">
        <v>83</v>
      </c>
      <c r="D131" s="102" t="s">
        <v>15</v>
      </c>
      <c r="E131" s="14" t="s">
        <v>164</v>
      </c>
      <c r="F131" s="119">
        <v>11</v>
      </c>
      <c r="G131" s="119">
        <v>100</v>
      </c>
      <c r="H131" s="119">
        <v>21</v>
      </c>
      <c r="I131" s="94">
        <f t="shared" si="4"/>
        <v>0.21</v>
      </c>
      <c r="J131" s="119"/>
      <c r="M131" s="84"/>
      <c r="N131" s="84"/>
      <c r="O131" s="84"/>
      <c r="P131" s="84"/>
    </row>
    <row r="132" spans="1:16" ht="31.5" hidden="1" x14ac:dyDescent="0.25">
      <c r="A132" s="107">
        <v>131</v>
      </c>
      <c r="B132" s="14" t="s">
        <v>207</v>
      </c>
      <c r="C132" s="14" t="s">
        <v>165</v>
      </c>
      <c r="D132" s="14" t="s">
        <v>14</v>
      </c>
      <c r="E132" s="14" t="s">
        <v>164</v>
      </c>
      <c r="F132" s="92">
        <v>10</v>
      </c>
      <c r="G132" s="92">
        <v>100</v>
      </c>
      <c r="H132" s="92">
        <v>41</v>
      </c>
      <c r="I132" s="94">
        <f t="shared" si="4"/>
        <v>0.41</v>
      </c>
      <c r="J132" s="92" t="s">
        <v>80</v>
      </c>
      <c r="M132" s="83"/>
      <c r="N132" s="83"/>
      <c r="O132" s="83"/>
      <c r="P132" s="83"/>
    </row>
    <row r="133" spans="1:16" ht="31.5" hidden="1" x14ac:dyDescent="0.25">
      <c r="A133" s="107">
        <v>132</v>
      </c>
      <c r="B133" s="14" t="s">
        <v>209</v>
      </c>
      <c r="C133" s="14" t="s">
        <v>165</v>
      </c>
      <c r="D133" s="14" t="s">
        <v>14</v>
      </c>
      <c r="E133" s="14" t="s">
        <v>164</v>
      </c>
      <c r="F133" s="92">
        <v>10</v>
      </c>
      <c r="G133" s="92">
        <v>100</v>
      </c>
      <c r="H133" s="92">
        <v>32</v>
      </c>
      <c r="I133" s="94">
        <f t="shared" si="4"/>
        <v>0.32</v>
      </c>
      <c r="J133" s="92"/>
      <c r="M133" s="83"/>
      <c r="N133" s="83"/>
      <c r="O133" s="83"/>
      <c r="P133" s="83"/>
    </row>
    <row r="134" spans="1:16" ht="31.5" hidden="1" x14ac:dyDescent="0.25">
      <c r="A134" s="107">
        <v>133</v>
      </c>
      <c r="B134" s="14" t="s">
        <v>215</v>
      </c>
      <c r="C134" s="14" t="s">
        <v>104</v>
      </c>
      <c r="D134" s="52" t="s">
        <v>14</v>
      </c>
      <c r="E134" s="14" t="s">
        <v>164</v>
      </c>
      <c r="F134" s="92">
        <v>11</v>
      </c>
      <c r="G134" s="92">
        <v>100</v>
      </c>
      <c r="H134" s="92">
        <v>33</v>
      </c>
      <c r="I134" s="94">
        <f t="shared" si="4"/>
        <v>0.33</v>
      </c>
      <c r="J134" s="92"/>
      <c r="M134" s="83"/>
      <c r="N134" s="83"/>
      <c r="O134" s="83"/>
      <c r="P134" s="83"/>
    </row>
    <row r="135" spans="1:16" ht="31.5" hidden="1" x14ac:dyDescent="0.25">
      <c r="A135" s="107">
        <v>134</v>
      </c>
      <c r="B135" s="14" t="s">
        <v>97</v>
      </c>
      <c r="C135" s="14" t="s">
        <v>81</v>
      </c>
      <c r="D135" s="14" t="s">
        <v>13</v>
      </c>
      <c r="E135" s="14" t="s">
        <v>164</v>
      </c>
      <c r="F135" s="92">
        <v>11</v>
      </c>
      <c r="G135" s="92">
        <v>100</v>
      </c>
      <c r="H135" s="92">
        <v>53</v>
      </c>
      <c r="I135" s="94">
        <f t="shared" si="4"/>
        <v>0.53</v>
      </c>
      <c r="J135" s="97" t="s">
        <v>18</v>
      </c>
      <c r="M135" s="84"/>
      <c r="N135" s="84"/>
      <c r="O135" s="84"/>
      <c r="P135" s="84"/>
    </row>
    <row r="136" spans="1:16" ht="31.5" hidden="1" x14ac:dyDescent="0.25">
      <c r="A136" s="107">
        <v>135</v>
      </c>
      <c r="B136" s="14" t="s">
        <v>205</v>
      </c>
      <c r="C136" s="14" t="s">
        <v>213</v>
      </c>
      <c r="D136" s="14" t="s">
        <v>13</v>
      </c>
      <c r="E136" s="14" t="s">
        <v>164</v>
      </c>
      <c r="F136" s="92">
        <v>10</v>
      </c>
      <c r="G136" s="92">
        <v>100</v>
      </c>
      <c r="H136" s="92">
        <v>44</v>
      </c>
      <c r="I136" s="94">
        <f t="shared" si="4"/>
        <v>0.44</v>
      </c>
      <c r="J136" s="92" t="s">
        <v>80</v>
      </c>
      <c r="M136" s="83"/>
      <c r="N136" s="83"/>
      <c r="O136" s="83"/>
      <c r="P136" s="83"/>
    </row>
    <row r="137" spans="1:16" ht="31.5" hidden="1" x14ac:dyDescent="0.25">
      <c r="A137" s="107">
        <v>136</v>
      </c>
      <c r="B137" s="14" t="s">
        <v>142</v>
      </c>
      <c r="C137" s="14" t="s">
        <v>81</v>
      </c>
      <c r="D137" s="14" t="s">
        <v>13</v>
      </c>
      <c r="E137" s="14" t="s">
        <v>164</v>
      </c>
      <c r="F137" s="92">
        <v>11</v>
      </c>
      <c r="G137" s="92">
        <v>100</v>
      </c>
      <c r="H137" s="92">
        <v>41</v>
      </c>
      <c r="I137" s="94">
        <f t="shared" si="4"/>
        <v>0.41</v>
      </c>
      <c r="J137" s="92" t="s">
        <v>80</v>
      </c>
    </row>
    <row r="138" spans="1:16" ht="31.5" hidden="1" x14ac:dyDescent="0.25">
      <c r="A138" s="107">
        <v>137</v>
      </c>
      <c r="B138" s="14" t="s">
        <v>208</v>
      </c>
      <c r="C138" s="14" t="s">
        <v>213</v>
      </c>
      <c r="D138" s="14" t="s">
        <v>13</v>
      </c>
      <c r="E138" s="14" t="s">
        <v>164</v>
      </c>
      <c r="F138" s="92">
        <v>10</v>
      </c>
      <c r="G138" s="92">
        <v>100</v>
      </c>
      <c r="H138" s="92">
        <v>33</v>
      </c>
      <c r="I138" s="94">
        <f t="shared" si="4"/>
        <v>0.33</v>
      </c>
      <c r="J138" s="92"/>
      <c r="M138" s="85"/>
      <c r="N138" s="85"/>
      <c r="O138" s="85"/>
      <c r="P138" s="85"/>
    </row>
    <row r="139" spans="1:16" ht="31.5" hidden="1" x14ac:dyDescent="0.25">
      <c r="A139" s="107">
        <v>138</v>
      </c>
      <c r="B139" s="14" t="s">
        <v>210</v>
      </c>
      <c r="C139" s="14" t="s">
        <v>214</v>
      </c>
      <c r="D139" s="14" t="s">
        <v>13</v>
      </c>
      <c r="E139" s="14" t="s">
        <v>164</v>
      </c>
      <c r="F139" s="92">
        <v>10</v>
      </c>
      <c r="G139" s="92">
        <v>100</v>
      </c>
      <c r="H139" s="92">
        <v>29</v>
      </c>
      <c r="I139" s="94">
        <f t="shared" si="4"/>
        <v>0.28999999999999998</v>
      </c>
      <c r="J139" s="92"/>
      <c r="M139" s="84"/>
      <c r="N139" s="84"/>
      <c r="O139" s="84"/>
      <c r="P139" s="84"/>
    </row>
    <row r="140" spans="1:16" ht="31.5" hidden="1" x14ac:dyDescent="0.25">
      <c r="A140" s="107">
        <v>139</v>
      </c>
      <c r="B140" s="14" t="s">
        <v>211</v>
      </c>
      <c r="C140" s="14" t="s">
        <v>214</v>
      </c>
      <c r="D140" s="14" t="s">
        <v>13</v>
      </c>
      <c r="E140" s="14" t="s">
        <v>164</v>
      </c>
      <c r="F140" s="92">
        <v>10</v>
      </c>
      <c r="G140" s="92">
        <v>100</v>
      </c>
      <c r="H140" s="92">
        <v>22</v>
      </c>
      <c r="I140" s="94">
        <f t="shared" si="4"/>
        <v>0.22</v>
      </c>
      <c r="J140" s="92"/>
      <c r="M140" s="83"/>
      <c r="N140" s="83"/>
      <c r="O140" s="83"/>
      <c r="P140" s="83"/>
    </row>
    <row r="141" spans="1:16" ht="31.5" hidden="1" x14ac:dyDescent="0.25">
      <c r="A141" s="107">
        <v>140</v>
      </c>
      <c r="B141" s="14" t="s">
        <v>212</v>
      </c>
      <c r="C141" s="14" t="s">
        <v>214</v>
      </c>
      <c r="D141" s="14" t="s">
        <v>13</v>
      </c>
      <c r="E141" s="14" t="s">
        <v>164</v>
      </c>
      <c r="F141" s="92">
        <v>10</v>
      </c>
      <c r="G141" s="92">
        <v>100</v>
      </c>
      <c r="H141" s="92">
        <v>20</v>
      </c>
      <c r="I141" s="94">
        <f t="shared" si="4"/>
        <v>0.2</v>
      </c>
      <c r="J141" s="92"/>
    </row>
    <row r="142" spans="1:16" ht="31.5" hidden="1" x14ac:dyDescent="0.25">
      <c r="A142" s="107">
        <v>141</v>
      </c>
      <c r="B142" s="14" t="s">
        <v>216</v>
      </c>
      <c r="C142" s="14" t="s">
        <v>81</v>
      </c>
      <c r="D142" s="14" t="s">
        <v>13</v>
      </c>
      <c r="E142" s="14" t="s">
        <v>164</v>
      </c>
      <c r="F142" s="92">
        <v>11</v>
      </c>
      <c r="G142" s="92">
        <v>100</v>
      </c>
      <c r="H142" s="92">
        <v>25</v>
      </c>
      <c r="I142" s="94">
        <f t="shared" si="4"/>
        <v>0.25</v>
      </c>
      <c r="J142" s="92"/>
      <c r="M142" s="84"/>
      <c r="N142" s="84"/>
      <c r="O142" s="84"/>
      <c r="P142" s="84"/>
    </row>
    <row r="143" spans="1:16" ht="31.5" hidden="1" x14ac:dyDescent="0.25">
      <c r="A143" s="107">
        <v>142</v>
      </c>
      <c r="B143" s="14" t="s">
        <v>163</v>
      </c>
      <c r="C143" s="14" t="s">
        <v>81</v>
      </c>
      <c r="D143" s="14" t="s">
        <v>13</v>
      </c>
      <c r="E143" s="14" t="s">
        <v>164</v>
      </c>
      <c r="F143" s="92">
        <v>11</v>
      </c>
      <c r="G143" s="92">
        <v>100</v>
      </c>
      <c r="H143" s="92">
        <v>12</v>
      </c>
      <c r="I143" s="94">
        <f t="shared" si="4"/>
        <v>0.12</v>
      </c>
      <c r="J143" s="92"/>
      <c r="M143" s="84"/>
      <c r="N143" s="84"/>
      <c r="O143" s="84"/>
      <c r="P143" s="84"/>
    </row>
    <row r="144" spans="1:16" ht="31.5" hidden="1" x14ac:dyDescent="0.25">
      <c r="A144" s="107">
        <v>143</v>
      </c>
      <c r="B144" s="14" t="s">
        <v>112</v>
      </c>
      <c r="C144" s="14" t="s">
        <v>82</v>
      </c>
      <c r="D144" s="14" t="s">
        <v>25</v>
      </c>
      <c r="E144" s="14" t="s">
        <v>164</v>
      </c>
      <c r="F144" s="92">
        <v>11</v>
      </c>
      <c r="G144" s="92">
        <v>100</v>
      </c>
      <c r="H144" s="92">
        <v>54</v>
      </c>
      <c r="I144" s="94">
        <f t="shared" si="4"/>
        <v>0.54</v>
      </c>
      <c r="J144" s="97" t="s">
        <v>18</v>
      </c>
      <c r="M144" s="88"/>
      <c r="N144" s="88"/>
      <c r="O144" s="88"/>
      <c r="P144" s="88"/>
    </row>
    <row r="145" spans="1:16" ht="31.5" hidden="1" x14ac:dyDescent="0.25">
      <c r="A145" s="107">
        <v>144</v>
      </c>
      <c r="B145" s="14" t="s">
        <v>206</v>
      </c>
      <c r="C145" s="14" t="s">
        <v>82</v>
      </c>
      <c r="D145" s="14" t="s">
        <v>25</v>
      </c>
      <c r="E145" s="14" t="s">
        <v>164</v>
      </c>
      <c r="F145" s="92">
        <v>10</v>
      </c>
      <c r="G145" s="92">
        <v>100</v>
      </c>
      <c r="H145" s="92">
        <v>41</v>
      </c>
      <c r="I145" s="94">
        <f t="shared" si="4"/>
        <v>0.41</v>
      </c>
      <c r="J145" s="92" t="s">
        <v>80</v>
      </c>
    </row>
    <row r="146" spans="1:16" ht="31.5" hidden="1" x14ac:dyDescent="0.25">
      <c r="A146" s="107">
        <v>145</v>
      </c>
      <c r="B146" s="14" t="s">
        <v>144</v>
      </c>
      <c r="C146" s="14" t="s">
        <v>82</v>
      </c>
      <c r="D146" s="14" t="s">
        <v>25</v>
      </c>
      <c r="E146" s="14" t="s">
        <v>164</v>
      </c>
      <c r="F146" s="92">
        <v>10</v>
      </c>
      <c r="G146" s="92">
        <v>100</v>
      </c>
      <c r="H146" s="92">
        <v>38</v>
      </c>
      <c r="I146" s="94">
        <f t="shared" si="4"/>
        <v>0.38</v>
      </c>
      <c r="J146" s="92"/>
    </row>
    <row r="147" spans="1:16" ht="31.5" hidden="1" x14ac:dyDescent="0.25">
      <c r="A147" s="107">
        <v>146</v>
      </c>
      <c r="B147" s="14" t="s">
        <v>190</v>
      </c>
      <c r="C147" s="14" t="s">
        <v>217</v>
      </c>
      <c r="D147" s="14" t="s">
        <v>25</v>
      </c>
      <c r="E147" s="14" t="s">
        <v>164</v>
      </c>
      <c r="F147" s="92">
        <v>11</v>
      </c>
      <c r="G147" s="92">
        <v>100</v>
      </c>
      <c r="H147" s="92">
        <v>22</v>
      </c>
      <c r="I147" s="94">
        <f t="shared" si="4"/>
        <v>0.22</v>
      </c>
      <c r="J147" s="92"/>
      <c r="M147" s="83"/>
      <c r="N147" s="83"/>
      <c r="O147" s="83"/>
      <c r="P147" s="83"/>
    </row>
    <row r="148" spans="1:16" ht="31.5" hidden="1" x14ac:dyDescent="0.25">
      <c r="A148" s="107">
        <v>147</v>
      </c>
      <c r="B148" s="14" t="s">
        <v>239</v>
      </c>
      <c r="C148" s="14" t="s">
        <v>244</v>
      </c>
      <c r="D148" s="14" t="s">
        <v>15</v>
      </c>
      <c r="E148" s="14" t="s">
        <v>59</v>
      </c>
      <c r="F148" s="92">
        <v>9</v>
      </c>
      <c r="G148" s="92">
        <v>100</v>
      </c>
      <c r="H148" s="92">
        <v>31.5</v>
      </c>
      <c r="I148" s="131">
        <f t="shared" si="4"/>
        <v>0.315</v>
      </c>
      <c r="J148" s="92"/>
      <c r="M148" s="83"/>
      <c r="N148" s="83"/>
      <c r="O148" s="83"/>
      <c r="P148" s="83"/>
    </row>
    <row r="149" spans="1:16" ht="31.5" hidden="1" x14ac:dyDescent="0.25">
      <c r="A149" s="107">
        <v>148</v>
      </c>
      <c r="B149" s="14" t="s">
        <v>128</v>
      </c>
      <c r="C149" s="14" t="s">
        <v>240</v>
      </c>
      <c r="D149" s="14" t="s">
        <v>253</v>
      </c>
      <c r="E149" s="14" t="s">
        <v>59</v>
      </c>
      <c r="F149" s="92">
        <v>9</v>
      </c>
      <c r="G149" s="92">
        <v>100</v>
      </c>
      <c r="H149" s="92">
        <v>71</v>
      </c>
      <c r="I149" s="94">
        <f t="shared" si="4"/>
        <v>0.71</v>
      </c>
      <c r="J149" s="92" t="s">
        <v>19</v>
      </c>
      <c r="M149" s="86"/>
      <c r="N149" s="86"/>
      <c r="O149" s="86"/>
      <c r="P149" s="86"/>
    </row>
    <row r="150" spans="1:16" ht="31.5" hidden="1" x14ac:dyDescent="0.25">
      <c r="A150" s="107">
        <v>149</v>
      </c>
      <c r="B150" s="14" t="s">
        <v>145</v>
      </c>
      <c r="C150" s="14" t="s">
        <v>117</v>
      </c>
      <c r="D150" s="14" t="s">
        <v>253</v>
      </c>
      <c r="E150" s="14" t="s">
        <v>59</v>
      </c>
      <c r="F150" s="92">
        <v>10</v>
      </c>
      <c r="G150" s="92">
        <v>100</v>
      </c>
      <c r="H150" s="92">
        <v>53</v>
      </c>
      <c r="I150" s="94">
        <f t="shared" si="4"/>
        <v>0.53</v>
      </c>
      <c r="J150" s="92" t="s">
        <v>18</v>
      </c>
      <c r="M150" s="87"/>
      <c r="N150" s="87"/>
      <c r="O150" s="87"/>
      <c r="P150" s="87"/>
    </row>
    <row r="151" spans="1:16" ht="31.5" hidden="1" x14ac:dyDescent="0.25">
      <c r="A151" s="107">
        <v>150</v>
      </c>
      <c r="B151" s="14" t="s">
        <v>94</v>
      </c>
      <c r="C151" s="14" t="s">
        <v>115</v>
      </c>
      <c r="D151" s="14" t="s">
        <v>253</v>
      </c>
      <c r="E151" s="14" t="s">
        <v>59</v>
      </c>
      <c r="F151" s="92">
        <v>11</v>
      </c>
      <c r="G151" s="92">
        <v>100</v>
      </c>
      <c r="H151" s="92">
        <v>51.5</v>
      </c>
      <c r="I151" s="149">
        <f t="shared" si="4"/>
        <v>0.51500000000000001</v>
      </c>
      <c r="J151" s="92" t="s">
        <v>18</v>
      </c>
      <c r="M151" s="87"/>
      <c r="N151" s="87"/>
      <c r="O151" s="87"/>
      <c r="P151" s="87"/>
    </row>
    <row r="152" spans="1:16" ht="31.5" hidden="1" x14ac:dyDescent="0.25">
      <c r="A152" s="107">
        <v>151</v>
      </c>
      <c r="B152" s="14" t="s">
        <v>113</v>
      </c>
      <c r="C152" s="14" t="s">
        <v>115</v>
      </c>
      <c r="D152" s="14" t="s">
        <v>253</v>
      </c>
      <c r="E152" s="14" t="s">
        <v>59</v>
      </c>
      <c r="F152" s="92">
        <v>11</v>
      </c>
      <c r="G152" s="92">
        <v>100</v>
      </c>
      <c r="H152" s="92">
        <v>47.9</v>
      </c>
      <c r="I152" s="149">
        <f t="shared" si="4"/>
        <v>0.47899999999999998</v>
      </c>
      <c r="J152" s="92" t="s">
        <v>80</v>
      </c>
      <c r="M152" s="84"/>
      <c r="N152" s="84"/>
      <c r="O152" s="84"/>
      <c r="P152" s="84"/>
    </row>
    <row r="153" spans="1:16" ht="31.5" hidden="1" x14ac:dyDescent="0.25">
      <c r="A153" s="107">
        <v>152</v>
      </c>
      <c r="B153" s="14" t="s">
        <v>235</v>
      </c>
      <c r="C153" s="14" t="s">
        <v>241</v>
      </c>
      <c r="D153" s="14" t="s">
        <v>14</v>
      </c>
      <c r="E153" s="14" t="s">
        <v>59</v>
      </c>
      <c r="F153" s="92">
        <v>9</v>
      </c>
      <c r="G153" s="92">
        <v>100</v>
      </c>
      <c r="H153" s="92">
        <v>60.3</v>
      </c>
      <c r="I153" s="149">
        <f t="shared" si="4"/>
        <v>0.60299999999999998</v>
      </c>
      <c r="J153" s="92" t="s">
        <v>17</v>
      </c>
      <c r="M153" s="86"/>
      <c r="N153" s="86"/>
      <c r="O153" s="86"/>
      <c r="P153" s="86"/>
    </row>
    <row r="154" spans="1:16" ht="31.5" hidden="1" x14ac:dyDescent="0.25">
      <c r="A154" s="107">
        <v>153</v>
      </c>
      <c r="B154" s="14" t="s">
        <v>246</v>
      </c>
      <c r="C154" s="14" t="s">
        <v>241</v>
      </c>
      <c r="D154" s="14" t="s">
        <v>14</v>
      </c>
      <c r="E154" s="14" t="s">
        <v>59</v>
      </c>
      <c r="F154" s="92">
        <v>10</v>
      </c>
      <c r="G154" s="92">
        <v>100</v>
      </c>
      <c r="H154" s="92">
        <v>41.5</v>
      </c>
      <c r="I154" s="149">
        <f t="shared" si="4"/>
        <v>0.41499999999999998</v>
      </c>
      <c r="J154" s="92" t="s">
        <v>80</v>
      </c>
    </row>
    <row r="155" spans="1:16" ht="31.5" hidden="1" x14ac:dyDescent="0.25">
      <c r="A155" s="107">
        <v>154</v>
      </c>
      <c r="B155" s="14" t="s">
        <v>245</v>
      </c>
      <c r="C155" s="14" t="s">
        <v>116</v>
      </c>
      <c r="D155" s="14" t="s">
        <v>13</v>
      </c>
      <c r="E155" s="14" t="s">
        <v>59</v>
      </c>
      <c r="F155" s="92">
        <v>10</v>
      </c>
      <c r="G155" s="92">
        <v>100</v>
      </c>
      <c r="H155" s="92">
        <v>51.5</v>
      </c>
      <c r="I155" s="149">
        <f t="shared" si="4"/>
        <v>0.51500000000000001</v>
      </c>
      <c r="J155" s="92" t="s">
        <v>18</v>
      </c>
      <c r="M155" s="83"/>
      <c r="N155" s="83"/>
      <c r="O155" s="83"/>
      <c r="P155" s="83"/>
    </row>
    <row r="156" spans="1:16" ht="31.5" hidden="1" x14ac:dyDescent="0.25">
      <c r="A156" s="107">
        <v>155</v>
      </c>
      <c r="B156" s="14" t="s">
        <v>92</v>
      </c>
      <c r="C156" s="14" t="s">
        <v>116</v>
      </c>
      <c r="D156" s="14" t="s">
        <v>13</v>
      </c>
      <c r="E156" s="14" t="s">
        <v>59</v>
      </c>
      <c r="F156" s="92">
        <v>11</v>
      </c>
      <c r="G156" s="92">
        <v>100</v>
      </c>
      <c r="H156" s="92">
        <v>51.95</v>
      </c>
      <c r="I156" s="149">
        <f t="shared" si="4"/>
        <v>0.51950000000000007</v>
      </c>
      <c r="J156" s="92" t="s">
        <v>18</v>
      </c>
      <c r="M156" s="84"/>
      <c r="N156" s="84"/>
      <c r="O156" s="84"/>
      <c r="P156" s="84"/>
    </row>
    <row r="157" spans="1:16" ht="31.5" hidden="1" x14ac:dyDescent="0.25">
      <c r="A157" s="107">
        <v>156</v>
      </c>
      <c r="B157" s="14" t="s">
        <v>238</v>
      </c>
      <c r="C157" s="14" t="s">
        <v>243</v>
      </c>
      <c r="D157" s="14" t="s">
        <v>13</v>
      </c>
      <c r="E157" s="14" t="s">
        <v>59</v>
      </c>
      <c r="F157" s="92">
        <v>9</v>
      </c>
      <c r="G157" s="92">
        <v>100</v>
      </c>
      <c r="H157" s="92">
        <v>43.7</v>
      </c>
      <c r="I157" s="149">
        <f t="shared" si="4"/>
        <v>0.43700000000000006</v>
      </c>
      <c r="J157" s="92" t="s">
        <v>80</v>
      </c>
    </row>
    <row r="158" spans="1:16" ht="31.5" hidden="1" x14ac:dyDescent="0.25">
      <c r="A158" s="107">
        <v>157</v>
      </c>
      <c r="B158" s="14" t="s">
        <v>234</v>
      </c>
      <c r="C158" s="14" t="s">
        <v>114</v>
      </c>
      <c r="D158" s="14" t="s">
        <v>25</v>
      </c>
      <c r="E158" s="14" t="s">
        <v>59</v>
      </c>
      <c r="F158" s="92">
        <v>9</v>
      </c>
      <c r="G158" s="92">
        <v>100</v>
      </c>
      <c r="H158" s="92">
        <v>64.3</v>
      </c>
      <c r="I158" s="149">
        <f t="shared" si="4"/>
        <v>0.64300000000000002</v>
      </c>
      <c r="J158" s="92" t="s">
        <v>17</v>
      </c>
    </row>
    <row r="159" spans="1:16" ht="31.5" hidden="1" x14ac:dyDescent="0.25">
      <c r="A159" s="107">
        <v>158</v>
      </c>
      <c r="B159" s="14" t="s">
        <v>236</v>
      </c>
      <c r="C159" s="14" t="s">
        <v>114</v>
      </c>
      <c r="D159" s="14" t="s">
        <v>25</v>
      </c>
      <c r="E159" s="14" t="s">
        <v>59</v>
      </c>
      <c r="F159" s="92">
        <v>9</v>
      </c>
      <c r="G159" s="92">
        <v>100</v>
      </c>
      <c r="H159" s="92">
        <v>52.4</v>
      </c>
      <c r="I159" s="149">
        <f t="shared" si="4"/>
        <v>0.52400000000000002</v>
      </c>
      <c r="J159" s="92" t="s">
        <v>18</v>
      </c>
    </row>
    <row r="160" spans="1:16" ht="31.5" hidden="1" x14ac:dyDescent="0.25">
      <c r="A160" s="107">
        <v>159</v>
      </c>
      <c r="B160" s="14" t="s">
        <v>247</v>
      </c>
      <c r="C160" s="14" t="s">
        <v>114</v>
      </c>
      <c r="D160" s="14" t="s">
        <v>25</v>
      </c>
      <c r="E160" s="14" t="s">
        <v>59</v>
      </c>
      <c r="F160" s="92">
        <v>11</v>
      </c>
      <c r="G160" s="92">
        <v>100</v>
      </c>
      <c r="H160" s="92">
        <v>47.4</v>
      </c>
      <c r="I160" s="149">
        <f t="shared" si="4"/>
        <v>0.47399999999999998</v>
      </c>
      <c r="J160" s="92" t="s">
        <v>80</v>
      </c>
    </row>
    <row r="161" spans="1:10" ht="31.5" hidden="1" x14ac:dyDescent="0.25">
      <c r="A161" s="107">
        <v>160</v>
      </c>
      <c r="B161" s="14" t="s">
        <v>248</v>
      </c>
      <c r="C161" s="14" t="s">
        <v>114</v>
      </c>
      <c r="D161" s="14" t="s">
        <v>25</v>
      </c>
      <c r="E161" s="14" t="s">
        <v>59</v>
      </c>
      <c r="F161" s="144">
        <v>11</v>
      </c>
      <c r="G161" s="92">
        <v>100</v>
      </c>
      <c r="H161" s="92">
        <v>46.65</v>
      </c>
      <c r="I161" s="149">
        <f t="shared" si="4"/>
        <v>0.46649999999999997</v>
      </c>
      <c r="J161" s="92" t="s">
        <v>80</v>
      </c>
    </row>
    <row r="162" spans="1:10" ht="31.5" hidden="1" x14ac:dyDescent="0.25">
      <c r="A162" s="107">
        <v>161</v>
      </c>
      <c r="B162" s="14" t="s">
        <v>237</v>
      </c>
      <c r="C162" s="14" t="s">
        <v>242</v>
      </c>
      <c r="D162" s="14" t="s">
        <v>118</v>
      </c>
      <c r="E162" s="14" t="s">
        <v>59</v>
      </c>
      <c r="F162" s="92">
        <v>9</v>
      </c>
      <c r="G162" s="92">
        <v>100</v>
      </c>
      <c r="H162" s="92">
        <v>47</v>
      </c>
      <c r="I162" s="94">
        <f t="shared" ref="I162:I184" si="5">H162/G162</f>
        <v>0.47</v>
      </c>
      <c r="J162" s="92" t="s">
        <v>80</v>
      </c>
    </row>
    <row r="163" spans="1:10" ht="31.5" hidden="1" x14ac:dyDescent="0.25">
      <c r="A163" s="107">
        <v>162</v>
      </c>
      <c r="B163" s="14" t="s">
        <v>167</v>
      </c>
      <c r="C163" s="14" t="s">
        <v>394</v>
      </c>
      <c r="D163" s="14" t="s">
        <v>15</v>
      </c>
      <c r="E163" s="14" t="s">
        <v>71</v>
      </c>
      <c r="F163" s="144">
        <v>10</v>
      </c>
      <c r="G163" s="92">
        <v>100</v>
      </c>
      <c r="H163" s="92">
        <v>37.5</v>
      </c>
      <c r="I163" s="131">
        <f t="shared" si="5"/>
        <v>0.375</v>
      </c>
      <c r="J163" s="92"/>
    </row>
    <row r="164" spans="1:10" ht="31.5" hidden="1" x14ac:dyDescent="0.25">
      <c r="A164" s="107">
        <v>163</v>
      </c>
      <c r="B164" s="14" t="s">
        <v>381</v>
      </c>
      <c r="C164" s="14" t="s">
        <v>189</v>
      </c>
      <c r="D164" s="14" t="s">
        <v>253</v>
      </c>
      <c r="E164" s="14" t="s">
        <v>71</v>
      </c>
      <c r="F164" s="144">
        <v>9</v>
      </c>
      <c r="G164" s="92">
        <v>100</v>
      </c>
      <c r="H164" s="92">
        <v>33</v>
      </c>
      <c r="I164" s="94">
        <f t="shared" si="5"/>
        <v>0.33</v>
      </c>
      <c r="J164" s="92"/>
    </row>
    <row r="165" spans="1:10" ht="31.5" hidden="1" x14ac:dyDescent="0.25">
      <c r="A165" s="107">
        <v>164</v>
      </c>
      <c r="B165" s="14" t="s">
        <v>391</v>
      </c>
      <c r="C165" s="14" t="s">
        <v>201</v>
      </c>
      <c r="D165" s="14" t="s">
        <v>253</v>
      </c>
      <c r="E165" s="14" t="s">
        <v>71</v>
      </c>
      <c r="F165" s="144">
        <v>9</v>
      </c>
      <c r="G165" s="92">
        <v>100</v>
      </c>
      <c r="H165" s="92">
        <v>28.5</v>
      </c>
      <c r="I165" s="131">
        <f t="shared" si="5"/>
        <v>0.28499999999999998</v>
      </c>
      <c r="J165" s="92"/>
    </row>
    <row r="166" spans="1:10" ht="31.5" hidden="1" x14ac:dyDescent="0.25">
      <c r="A166" s="107">
        <v>165</v>
      </c>
      <c r="B166" s="14" t="s">
        <v>382</v>
      </c>
      <c r="C166" s="14" t="s">
        <v>383</v>
      </c>
      <c r="D166" s="14" t="s">
        <v>14</v>
      </c>
      <c r="E166" s="14" t="s">
        <v>71</v>
      </c>
      <c r="F166" s="144">
        <v>9</v>
      </c>
      <c r="G166" s="92">
        <v>100</v>
      </c>
      <c r="H166" s="92">
        <v>30</v>
      </c>
      <c r="I166" s="94">
        <f t="shared" si="5"/>
        <v>0.3</v>
      </c>
      <c r="J166" s="92"/>
    </row>
    <row r="167" spans="1:10" ht="31.5" hidden="1" x14ac:dyDescent="0.25">
      <c r="A167" s="107">
        <v>166</v>
      </c>
      <c r="B167" s="14" t="s">
        <v>185</v>
      </c>
      <c r="C167" s="14" t="s">
        <v>187</v>
      </c>
      <c r="D167" s="14" t="s">
        <v>20</v>
      </c>
      <c r="E167" s="14" t="s">
        <v>71</v>
      </c>
      <c r="F167" s="144">
        <v>11</v>
      </c>
      <c r="G167" s="92">
        <v>100</v>
      </c>
      <c r="H167" s="92">
        <v>62</v>
      </c>
      <c r="I167" s="94">
        <f t="shared" si="5"/>
        <v>0.62</v>
      </c>
      <c r="J167" s="92" t="s">
        <v>17</v>
      </c>
    </row>
    <row r="168" spans="1:10" ht="31.5" hidden="1" x14ac:dyDescent="0.25">
      <c r="A168" s="107">
        <v>167</v>
      </c>
      <c r="B168" s="14" t="s">
        <v>184</v>
      </c>
      <c r="C168" s="14" t="s">
        <v>187</v>
      </c>
      <c r="D168" s="14" t="s">
        <v>20</v>
      </c>
      <c r="E168" s="14" t="s">
        <v>71</v>
      </c>
      <c r="F168" s="144">
        <v>11</v>
      </c>
      <c r="G168" s="92">
        <v>100</v>
      </c>
      <c r="H168" s="92">
        <v>57</v>
      </c>
      <c r="I168" s="94">
        <f t="shared" si="5"/>
        <v>0.56999999999999995</v>
      </c>
      <c r="J168" s="92" t="s">
        <v>18</v>
      </c>
    </row>
    <row r="169" spans="1:10" ht="31.5" hidden="1" x14ac:dyDescent="0.25">
      <c r="A169" s="107">
        <v>168</v>
      </c>
      <c r="B169" s="14" t="s">
        <v>388</v>
      </c>
      <c r="C169" s="14" t="s">
        <v>200</v>
      </c>
      <c r="D169" s="14" t="s">
        <v>20</v>
      </c>
      <c r="E169" s="14" t="s">
        <v>71</v>
      </c>
      <c r="F169" s="144">
        <v>10</v>
      </c>
      <c r="G169" s="92">
        <v>100</v>
      </c>
      <c r="H169" s="92">
        <v>54</v>
      </c>
      <c r="I169" s="94">
        <f t="shared" si="5"/>
        <v>0.54</v>
      </c>
      <c r="J169" s="92" t="s">
        <v>18</v>
      </c>
    </row>
    <row r="170" spans="1:10" ht="31.5" hidden="1" x14ac:dyDescent="0.25">
      <c r="A170" s="107">
        <v>169</v>
      </c>
      <c r="B170" s="14" t="s">
        <v>376</v>
      </c>
      <c r="C170" s="14" t="s">
        <v>377</v>
      </c>
      <c r="D170" s="14" t="s">
        <v>20</v>
      </c>
      <c r="E170" s="14" t="s">
        <v>71</v>
      </c>
      <c r="F170" s="144">
        <v>9</v>
      </c>
      <c r="G170" s="92">
        <v>100</v>
      </c>
      <c r="H170" s="92">
        <v>47</v>
      </c>
      <c r="I170" s="94">
        <f t="shared" si="5"/>
        <v>0.47</v>
      </c>
      <c r="J170" s="92" t="s">
        <v>80</v>
      </c>
    </row>
    <row r="171" spans="1:10" ht="31.5" hidden="1" x14ac:dyDescent="0.25">
      <c r="A171" s="107">
        <v>170</v>
      </c>
      <c r="B171" s="14" t="s">
        <v>378</v>
      </c>
      <c r="C171" s="14" t="s">
        <v>187</v>
      </c>
      <c r="D171" s="14" t="s">
        <v>20</v>
      </c>
      <c r="E171" s="14" t="s">
        <v>71</v>
      </c>
      <c r="F171" s="144">
        <v>11</v>
      </c>
      <c r="G171" s="92">
        <v>100</v>
      </c>
      <c r="H171" s="92">
        <v>45</v>
      </c>
      <c r="I171" s="94">
        <f t="shared" si="5"/>
        <v>0.45</v>
      </c>
      <c r="J171" s="92" t="s">
        <v>80</v>
      </c>
    </row>
    <row r="172" spans="1:10" ht="31.5" hidden="1" x14ac:dyDescent="0.25">
      <c r="A172" s="107">
        <v>171</v>
      </c>
      <c r="B172" s="14" t="s">
        <v>379</v>
      </c>
      <c r="C172" s="14" t="s">
        <v>377</v>
      </c>
      <c r="D172" s="14" t="s">
        <v>20</v>
      </c>
      <c r="E172" s="14" t="s">
        <v>71</v>
      </c>
      <c r="F172" s="144">
        <v>9</v>
      </c>
      <c r="G172" s="92">
        <v>100</v>
      </c>
      <c r="H172" s="92">
        <v>44</v>
      </c>
      <c r="I172" s="94">
        <f t="shared" si="5"/>
        <v>0.44</v>
      </c>
      <c r="J172" s="92" t="s">
        <v>80</v>
      </c>
    </row>
    <row r="173" spans="1:10" ht="31.5" hidden="1" x14ac:dyDescent="0.25">
      <c r="A173" s="107">
        <v>172</v>
      </c>
      <c r="B173" s="14" t="s">
        <v>310</v>
      </c>
      <c r="C173" s="14" t="s">
        <v>200</v>
      </c>
      <c r="D173" s="14" t="s">
        <v>20</v>
      </c>
      <c r="E173" s="14" t="s">
        <v>71</v>
      </c>
      <c r="F173" s="144">
        <v>10</v>
      </c>
      <c r="G173" s="92">
        <v>100</v>
      </c>
      <c r="H173" s="92">
        <v>44</v>
      </c>
      <c r="I173" s="94">
        <f t="shared" si="5"/>
        <v>0.44</v>
      </c>
      <c r="J173" s="92" t="s">
        <v>80</v>
      </c>
    </row>
    <row r="174" spans="1:10" ht="39.75" hidden="1" customHeight="1" x14ac:dyDescent="0.25">
      <c r="A174" s="107">
        <v>173</v>
      </c>
      <c r="B174" s="14" t="s">
        <v>390</v>
      </c>
      <c r="C174" s="14" t="s">
        <v>200</v>
      </c>
      <c r="D174" s="14" t="s">
        <v>20</v>
      </c>
      <c r="E174" s="14" t="s">
        <v>71</v>
      </c>
      <c r="F174" s="144">
        <v>11</v>
      </c>
      <c r="G174" s="92">
        <v>100</v>
      </c>
      <c r="H174" s="92">
        <v>42</v>
      </c>
      <c r="I174" s="94">
        <f t="shared" si="5"/>
        <v>0.42</v>
      </c>
      <c r="J174" s="92" t="s">
        <v>80</v>
      </c>
    </row>
    <row r="175" spans="1:10" ht="31.5" hidden="1" x14ac:dyDescent="0.25">
      <c r="A175" s="107">
        <v>174</v>
      </c>
      <c r="B175" s="14" t="s">
        <v>196</v>
      </c>
      <c r="C175" s="14" t="s">
        <v>393</v>
      </c>
      <c r="D175" s="14" t="s">
        <v>20</v>
      </c>
      <c r="E175" s="14" t="s">
        <v>71</v>
      </c>
      <c r="F175" s="144">
        <v>10</v>
      </c>
      <c r="G175" s="92">
        <v>100</v>
      </c>
      <c r="H175" s="92">
        <v>38</v>
      </c>
      <c r="I175" s="94">
        <f t="shared" si="5"/>
        <v>0.38</v>
      </c>
      <c r="J175" s="92"/>
    </row>
    <row r="176" spans="1:10" ht="31.5" hidden="1" x14ac:dyDescent="0.25">
      <c r="A176" s="107">
        <v>175</v>
      </c>
      <c r="B176" s="14" t="s">
        <v>183</v>
      </c>
      <c r="C176" s="14" t="s">
        <v>188</v>
      </c>
      <c r="D176" s="14" t="s">
        <v>12</v>
      </c>
      <c r="E176" s="14" t="s">
        <v>71</v>
      </c>
      <c r="F176" s="144">
        <v>11</v>
      </c>
      <c r="G176" s="92">
        <v>100</v>
      </c>
      <c r="H176" s="92">
        <v>64</v>
      </c>
      <c r="I176" s="94">
        <f t="shared" si="5"/>
        <v>0.64</v>
      </c>
      <c r="J176" s="92" t="s">
        <v>17</v>
      </c>
    </row>
    <row r="177" spans="1:10" ht="31.5" hidden="1" x14ac:dyDescent="0.25">
      <c r="A177" s="107">
        <v>176</v>
      </c>
      <c r="B177" s="14" t="s">
        <v>355</v>
      </c>
      <c r="C177" s="14" t="s">
        <v>188</v>
      </c>
      <c r="D177" s="14" t="s">
        <v>12</v>
      </c>
      <c r="E177" s="14" t="s">
        <v>71</v>
      </c>
      <c r="F177" s="144">
        <v>9</v>
      </c>
      <c r="G177" s="92">
        <v>100</v>
      </c>
      <c r="H177" s="92">
        <v>51</v>
      </c>
      <c r="I177" s="94">
        <f t="shared" si="5"/>
        <v>0.51</v>
      </c>
      <c r="J177" s="92" t="s">
        <v>18</v>
      </c>
    </row>
    <row r="178" spans="1:10" ht="31.5" hidden="1" x14ac:dyDescent="0.25">
      <c r="A178" s="107">
        <v>177</v>
      </c>
      <c r="B178" s="14" t="s">
        <v>193</v>
      </c>
      <c r="C178" s="14" t="s">
        <v>199</v>
      </c>
      <c r="D178" s="14" t="s">
        <v>12</v>
      </c>
      <c r="E178" s="14" t="s">
        <v>71</v>
      </c>
      <c r="F178" s="144">
        <v>11</v>
      </c>
      <c r="G178" s="92">
        <v>100</v>
      </c>
      <c r="H178" s="92">
        <v>55.5</v>
      </c>
      <c r="I178" s="94">
        <f t="shared" si="5"/>
        <v>0.55500000000000005</v>
      </c>
      <c r="J178" s="92" t="s">
        <v>18</v>
      </c>
    </row>
    <row r="179" spans="1:10" ht="31.5" hidden="1" x14ac:dyDescent="0.25">
      <c r="A179" s="107">
        <v>178</v>
      </c>
      <c r="B179" s="14" t="s">
        <v>197</v>
      </c>
      <c r="C179" s="14" t="s">
        <v>199</v>
      </c>
      <c r="D179" s="14" t="s">
        <v>12</v>
      </c>
      <c r="E179" s="14" t="s">
        <v>71</v>
      </c>
      <c r="F179" s="144">
        <v>9</v>
      </c>
      <c r="G179" s="92">
        <v>100</v>
      </c>
      <c r="H179" s="92">
        <v>45</v>
      </c>
      <c r="I179" s="94">
        <f t="shared" si="5"/>
        <v>0.45</v>
      </c>
      <c r="J179" s="92" t="s">
        <v>80</v>
      </c>
    </row>
    <row r="180" spans="1:10" ht="31.5" hidden="1" x14ac:dyDescent="0.25">
      <c r="A180" s="107">
        <v>179</v>
      </c>
      <c r="B180" s="14" t="s">
        <v>133</v>
      </c>
      <c r="C180" s="14" t="s">
        <v>384</v>
      </c>
      <c r="D180" s="14" t="s">
        <v>13</v>
      </c>
      <c r="E180" s="14" t="s">
        <v>71</v>
      </c>
      <c r="F180" s="144">
        <v>9</v>
      </c>
      <c r="G180" s="92">
        <v>100</v>
      </c>
      <c r="H180" s="92">
        <v>29</v>
      </c>
      <c r="I180" s="94">
        <f t="shared" si="5"/>
        <v>0.28999999999999998</v>
      </c>
      <c r="J180" s="92"/>
    </row>
    <row r="181" spans="1:10" ht="31.5" hidden="1" x14ac:dyDescent="0.25">
      <c r="A181" s="107">
        <v>180</v>
      </c>
      <c r="B181" s="14" t="s">
        <v>324</v>
      </c>
      <c r="C181" s="14" t="s">
        <v>202</v>
      </c>
      <c r="D181" s="14" t="s">
        <v>13</v>
      </c>
      <c r="E181" s="14" t="s">
        <v>71</v>
      </c>
      <c r="F181" s="144">
        <v>9</v>
      </c>
      <c r="G181" s="92">
        <v>100</v>
      </c>
      <c r="H181" s="92">
        <v>17</v>
      </c>
      <c r="I181" s="94">
        <f t="shared" si="5"/>
        <v>0.17</v>
      </c>
      <c r="J181" s="92"/>
    </row>
    <row r="182" spans="1:10" ht="31.5" hidden="1" x14ac:dyDescent="0.25">
      <c r="A182" s="107">
        <v>181</v>
      </c>
      <c r="B182" s="14" t="s">
        <v>181</v>
      </c>
      <c r="C182" s="14" t="s">
        <v>186</v>
      </c>
      <c r="D182" s="14" t="s">
        <v>25</v>
      </c>
      <c r="E182" s="14" t="s">
        <v>71</v>
      </c>
      <c r="F182" s="144">
        <v>10</v>
      </c>
      <c r="G182" s="92">
        <v>100</v>
      </c>
      <c r="H182" s="92">
        <v>76</v>
      </c>
      <c r="I182" s="94">
        <f t="shared" si="5"/>
        <v>0.76</v>
      </c>
      <c r="J182" s="92" t="s">
        <v>19</v>
      </c>
    </row>
    <row r="183" spans="1:10" ht="31.5" hidden="1" x14ac:dyDescent="0.25">
      <c r="A183" s="107">
        <v>182</v>
      </c>
      <c r="B183" s="14" t="s">
        <v>182</v>
      </c>
      <c r="C183" s="14" t="s">
        <v>186</v>
      </c>
      <c r="D183" s="14" t="s">
        <v>25</v>
      </c>
      <c r="E183" s="14" t="s">
        <v>71</v>
      </c>
      <c r="F183" s="144">
        <v>11</v>
      </c>
      <c r="G183" s="92">
        <v>100</v>
      </c>
      <c r="H183" s="92">
        <v>72</v>
      </c>
      <c r="I183" s="94">
        <f t="shared" si="5"/>
        <v>0.72</v>
      </c>
      <c r="J183" s="92" t="s">
        <v>19</v>
      </c>
    </row>
    <row r="184" spans="1:10" ht="31.5" hidden="1" x14ac:dyDescent="0.25">
      <c r="A184" s="107">
        <v>183</v>
      </c>
      <c r="B184" s="14" t="s">
        <v>308</v>
      </c>
      <c r="C184" s="14" t="s">
        <v>198</v>
      </c>
      <c r="D184" s="14" t="s">
        <v>25</v>
      </c>
      <c r="E184" s="14" t="s">
        <v>71</v>
      </c>
      <c r="F184" s="144">
        <v>9</v>
      </c>
      <c r="G184" s="92">
        <v>100</v>
      </c>
      <c r="H184" s="92">
        <v>72</v>
      </c>
      <c r="I184" s="94">
        <f t="shared" si="5"/>
        <v>0.72</v>
      </c>
      <c r="J184" s="92" t="s">
        <v>19</v>
      </c>
    </row>
    <row r="185" spans="1:10" ht="31.5" hidden="1" x14ac:dyDescent="0.25">
      <c r="A185" s="107">
        <v>184</v>
      </c>
      <c r="B185" s="14" t="s">
        <v>180</v>
      </c>
      <c r="C185" s="14" t="s">
        <v>186</v>
      </c>
      <c r="D185" s="14" t="s">
        <v>25</v>
      </c>
      <c r="E185" s="14" t="s">
        <v>71</v>
      </c>
      <c r="F185" s="144">
        <v>10</v>
      </c>
      <c r="G185" s="92">
        <v>100</v>
      </c>
      <c r="H185" s="92">
        <v>64</v>
      </c>
      <c r="I185" s="94">
        <f t="shared" ref="I185:I192" si="6">H185/G185</f>
        <v>0.64</v>
      </c>
      <c r="J185" s="92" t="s">
        <v>17</v>
      </c>
    </row>
    <row r="186" spans="1:10" ht="31.5" hidden="1" x14ac:dyDescent="0.25">
      <c r="A186" s="107">
        <v>185</v>
      </c>
      <c r="B186" s="14" t="s">
        <v>373</v>
      </c>
      <c r="C186" s="14" t="s">
        <v>374</v>
      </c>
      <c r="D186" s="14" t="s">
        <v>25</v>
      </c>
      <c r="E186" s="14" t="s">
        <v>71</v>
      </c>
      <c r="F186" s="144">
        <v>9</v>
      </c>
      <c r="G186" s="92">
        <v>100</v>
      </c>
      <c r="H186" s="92">
        <v>61</v>
      </c>
      <c r="I186" s="94">
        <f t="shared" si="6"/>
        <v>0.61</v>
      </c>
      <c r="J186" s="92" t="s">
        <v>17</v>
      </c>
    </row>
    <row r="187" spans="1:10" ht="31.5" hidden="1" x14ac:dyDescent="0.25">
      <c r="A187" s="107">
        <v>186</v>
      </c>
      <c r="B187" s="14" t="s">
        <v>386</v>
      </c>
      <c r="C187" s="14" t="s">
        <v>198</v>
      </c>
      <c r="D187" s="14" t="s">
        <v>25</v>
      </c>
      <c r="E187" s="14" t="s">
        <v>71</v>
      </c>
      <c r="F187" s="144">
        <v>11</v>
      </c>
      <c r="G187" s="92">
        <v>100</v>
      </c>
      <c r="H187" s="92">
        <v>61</v>
      </c>
      <c r="I187" s="94">
        <f t="shared" si="6"/>
        <v>0.61</v>
      </c>
      <c r="J187" s="92" t="s">
        <v>17</v>
      </c>
    </row>
    <row r="188" spans="1:10" ht="31.5" hidden="1" x14ac:dyDescent="0.25">
      <c r="A188" s="107">
        <v>187</v>
      </c>
      <c r="B188" s="14" t="s">
        <v>387</v>
      </c>
      <c r="C188" s="14" t="s">
        <v>198</v>
      </c>
      <c r="D188" s="14" t="s">
        <v>25</v>
      </c>
      <c r="E188" s="14" t="s">
        <v>71</v>
      </c>
      <c r="F188" s="144">
        <v>9</v>
      </c>
      <c r="G188" s="92">
        <v>100</v>
      </c>
      <c r="H188" s="92">
        <v>60</v>
      </c>
      <c r="I188" s="94">
        <f t="shared" si="6"/>
        <v>0.6</v>
      </c>
      <c r="J188" s="92" t="s">
        <v>17</v>
      </c>
    </row>
    <row r="189" spans="1:10" ht="31.5" hidden="1" x14ac:dyDescent="0.25">
      <c r="A189" s="107">
        <v>188</v>
      </c>
      <c r="B189" s="14" t="s">
        <v>375</v>
      </c>
      <c r="C189" s="14" t="s">
        <v>186</v>
      </c>
      <c r="D189" s="14" t="s">
        <v>25</v>
      </c>
      <c r="E189" s="14" t="s">
        <v>71</v>
      </c>
      <c r="F189" s="144">
        <v>10</v>
      </c>
      <c r="G189" s="92">
        <v>100</v>
      </c>
      <c r="H189" s="92">
        <v>53</v>
      </c>
      <c r="I189" s="94">
        <f t="shared" si="6"/>
        <v>0.53</v>
      </c>
      <c r="J189" s="92" t="s">
        <v>18</v>
      </c>
    </row>
    <row r="190" spans="1:10" ht="31.5" hidden="1" x14ac:dyDescent="0.25">
      <c r="A190" s="107">
        <v>189</v>
      </c>
      <c r="B190" s="14" t="s">
        <v>192</v>
      </c>
      <c r="C190" s="14" t="s">
        <v>198</v>
      </c>
      <c r="D190" s="14" t="s">
        <v>25</v>
      </c>
      <c r="E190" s="14" t="s">
        <v>71</v>
      </c>
      <c r="F190" s="144">
        <v>11</v>
      </c>
      <c r="G190" s="92">
        <v>100</v>
      </c>
      <c r="H190" s="92">
        <v>59</v>
      </c>
      <c r="I190" s="94">
        <f t="shared" si="6"/>
        <v>0.59</v>
      </c>
      <c r="J190" s="92" t="s">
        <v>18</v>
      </c>
    </row>
    <row r="191" spans="1:10" ht="31.5" hidden="1" x14ac:dyDescent="0.25">
      <c r="A191" s="107">
        <v>190</v>
      </c>
      <c r="B191" s="14" t="s">
        <v>353</v>
      </c>
      <c r="C191" s="14" t="s">
        <v>374</v>
      </c>
      <c r="D191" s="14" t="s">
        <v>25</v>
      </c>
      <c r="E191" s="14" t="s">
        <v>71</v>
      </c>
      <c r="F191" s="144">
        <v>9</v>
      </c>
      <c r="G191" s="92">
        <v>100</v>
      </c>
      <c r="H191" s="92">
        <v>43</v>
      </c>
      <c r="I191" s="94">
        <f t="shared" si="6"/>
        <v>0.43</v>
      </c>
      <c r="J191" s="92" t="s">
        <v>80</v>
      </c>
    </row>
    <row r="192" spans="1:10" ht="31.5" hidden="1" x14ac:dyDescent="0.25">
      <c r="A192" s="107">
        <v>191</v>
      </c>
      <c r="B192" s="14" t="s">
        <v>389</v>
      </c>
      <c r="C192" s="14" t="s">
        <v>392</v>
      </c>
      <c r="D192" s="14" t="s">
        <v>118</v>
      </c>
      <c r="E192" s="14" t="s">
        <v>71</v>
      </c>
      <c r="F192" s="144">
        <v>9</v>
      </c>
      <c r="G192" s="92">
        <v>100</v>
      </c>
      <c r="H192" s="92">
        <v>47.5</v>
      </c>
      <c r="I192" s="131">
        <f t="shared" si="6"/>
        <v>0.47499999999999998</v>
      </c>
      <c r="J192" s="92" t="s">
        <v>80</v>
      </c>
    </row>
    <row r="193" spans="1:10" ht="31.5" hidden="1" x14ac:dyDescent="0.25">
      <c r="A193" s="107">
        <v>192</v>
      </c>
      <c r="B193" s="14" t="s">
        <v>237</v>
      </c>
      <c r="C193" s="14" t="s">
        <v>380</v>
      </c>
      <c r="D193" s="14" t="s">
        <v>118</v>
      </c>
      <c r="E193" s="14" t="s">
        <v>71</v>
      </c>
      <c r="F193" s="144">
        <v>9</v>
      </c>
      <c r="G193" s="92">
        <v>100</v>
      </c>
      <c r="H193" s="92">
        <v>35</v>
      </c>
      <c r="I193" s="94">
        <f t="shared" ref="I193:I201" si="7">H193/G193</f>
        <v>0.35</v>
      </c>
      <c r="J193" s="92"/>
    </row>
    <row r="194" spans="1:10" ht="31.5" hidden="1" x14ac:dyDescent="0.25">
      <c r="A194" s="107">
        <v>193</v>
      </c>
      <c r="B194" s="14" t="s">
        <v>385</v>
      </c>
      <c r="C194" s="14" t="s">
        <v>380</v>
      </c>
      <c r="D194" s="14" t="s">
        <v>118</v>
      </c>
      <c r="E194" s="14" t="s">
        <v>71</v>
      </c>
      <c r="F194" s="144">
        <v>9</v>
      </c>
      <c r="G194" s="92">
        <v>100</v>
      </c>
      <c r="H194" s="92">
        <v>23</v>
      </c>
      <c r="I194" s="94">
        <f t="shared" si="7"/>
        <v>0.23</v>
      </c>
      <c r="J194" s="92"/>
    </row>
    <row r="195" spans="1:10" ht="31.5" hidden="1" x14ac:dyDescent="0.25">
      <c r="A195" s="107">
        <v>194</v>
      </c>
      <c r="B195" s="14" t="s">
        <v>157</v>
      </c>
      <c r="C195" s="14" t="s">
        <v>158</v>
      </c>
      <c r="D195" s="14" t="s">
        <v>15</v>
      </c>
      <c r="E195" s="14" t="s">
        <v>156</v>
      </c>
      <c r="F195" s="144">
        <v>11</v>
      </c>
      <c r="G195" s="92">
        <v>50</v>
      </c>
      <c r="H195" s="92">
        <v>7</v>
      </c>
      <c r="I195" s="94">
        <f t="shared" si="7"/>
        <v>0.14000000000000001</v>
      </c>
      <c r="J195" s="92"/>
    </row>
    <row r="196" spans="1:10" ht="31.5" hidden="1" x14ac:dyDescent="0.25">
      <c r="A196" s="107">
        <v>195</v>
      </c>
      <c r="B196" s="14" t="s">
        <v>346</v>
      </c>
      <c r="C196" s="14" t="s">
        <v>347</v>
      </c>
      <c r="D196" s="14" t="s">
        <v>253</v>
      </c>
      <c r="E196" s="14" t="s">
        <v>156</v>
      </c>
      <c r="F196" s="144">
        <v>9</v>
      </c>
      <c r="G196" s="92">
        <v>50</v>
      </c>
      <c r="H196" s="92">
        <v>0</v>
      </c>
      <c r="I196" s="94">
        <f t="shared" si="7"/>
        <v>0</v>
      </c>
      <c r="J196" s="92"/>
    </row>
    <row r="197" spans="1:10" ht="31.5" hidden="1" x14ac:dyDescent="0.25">
      <c r="A197" s="107">
        <v>196</v>
      </c>
      <c r="B197" s="14" t="s">
        <v>230</v>
      </c>
      <c r="C197" s="14" t="s">
        <v>348</v>
      </c>
      <c r="D197" s="14" t="s">
        <v>14</v>
      </c>
      <c r="E197" s="14" t="s">
        <v>156</v>
      </c>
      <c r="F197" s="144">
        <v>11</v>
      </c>
      <c r="G197" s="92">
        <v>50</v>
      </c>
      <c r="H197" s="92">
        <v>10</v>
      </c>
      <c r="I197" s="94">
        <f t="shared" si="7"/>
        <v>0.2</v>
      </c>
      <c r="J197" s="92"/>
    </row>
    <row r="198" spans="1:10" ht="31.5" hidden="1" x14ac:dyDescent="0.25">
      <c r="A198" s="107">
        <v>197</v>
      </c>
      <c r="B198" s="14" t="s">
        <v>132</v>
      </c>
      <c r="C198" s="14" t="s">
        <v>159</v>
      </c>
      <c r="D198" s="14" t="s">
        <v>13</v>
      </c>
      <c r="E198" s="14" t="s">
        <v>156</v>
      </c>
      <c r="F198" s="144">
        <v>9</v>
      </c>
      <c r="G198" s="92">
        <v>50</v>
      </c>
      <c r="H198" s="92">
        <v>9</v>
      </c>
      <c r="I198" s="94">
        <f t="shared" si="7"/>
        <v>0.18</v>
      </c>
      <c r="J198" s="92"/>
    </row>
    <row r="199" spans="1:10" ht="31.5" hidden="1" x14ac:dyDescent="0.25">
      <c r="A199" s="107">
        <v>198</v>
      </c>
      <c r="B199" s="14" t="s">
        <v>88</v>
      </c>
      <c r="C199" s="14" t="s">
        <v>155</v>
      </c>
      <c r="D199" s="14" t="s">
        <v>25</v>
      </c>
      <c r="E199" s="14" t="s">
        <v>156</v>
      </c>
      <c r="F199" s="144">
        <v>11</v>
      </c>
      <c r="G199" s="92">
        <v>50</v>
      </c>
      <c r="H199" s="92">
        <v>43</v>
      </c>
      <c r="I199" s="94">
        <f t="shared" si="7"/>
        <v>0.86</v>
      </c>
      <c r="J199" s="92" t="s">
        <v>19</v>
      </c>
    </row>
    <row r="200" spans="1:10" ht="31.5" hidden="1" x14ac:dyDescent="0.25">
      <c r="A200" s="107">
        <v>199</v>
      </c>
      <c r="B200" s="14" t="s">
        <v>131</v>
      </c>
      <c r="C200" s="14" t="s">
        <v>87</v>
      </c>
      <c r="D200" s="14" t="s">
        <v>25</v>
      </c>
      <c r="E200" s="14" t="s">
        <v>156</v>
      </c>
      <c r="F200" s="144">
        <v>9</v>
      </c>
      <c r="G200" s="92">
        <v>50</v>
      </c>
      <c r="H200" s="92">
        <v>5</v>
      </c>
      <c r="I200" s="94">
        <f t="shared" si="7"/>
        <v>0.1</v>
      </c>
      <c r="J200" s="92"/>
    </row>
    <row r="201" spans="1:10" ht="31.5" hidden="1" customHeight="1" x14ac:dyDescent="0.25">
      <c r="A201" s="107">
        <v>200</v>
      </c>
      <c r="B201" s="14" t="s">
        <v>93</v>
      </c>
      <c r="C201" s="14" t="s">
        <v>155</v>
      </c>
      <c r="D201" s="14" t="s">
        <v>25</v>
      </c>
      <c r="E201" s="14" t="s">
        <v>156</v>
      </c>
      <c r="F201" s="144">
        <v>10</v>
      </c>
      <c r="G201" s="92">
        <v>50</v>
      </c>
      <c r="H201" s="92">
        <v>8</v>
      </c>
      <c r="I201" s="94">
        <f t="shared" si="7"/>
        <v>0.16</v>
      </c>
      <c r="J201" s="92"/>
    </row>
    <row r="202" spans="1:10" ht="31.5" hidden="1" customHeight="1" x14ac:dyDescent="0.25">
      <c r="A202" s="107">
        <v>201</v>
      </c>
      <c r="B202" s="93" t="s">
        <v>220</v>
      </c>
      <c r="C202" s="93" t="s">
        <v>284</v>
      </c>
      <c r="D202" s="52" t="s">
        <v>15</v>
      </c>
      <c r="E202" s="14" t="s">
        <v>270</v>
      </c>
      <c r="F202" s="96">
        <v>9</v>
      </c>
      <c r="I202" s="94"/>
      <c r="J202" s="97" t="s">
        <v>19</v>
      </c>
    </row>
    <row r="203" spans="1:10" ht="31.5" hidden="1" customHeight="1" x14ac:dyDescent="0.25">
      <c r="A203" s="107">
        <v>202</v>
      </c>
      <c r="B203" s="93" t="s">
        <v>291</v>
      </c>
      <c r="C203" s="93" t="s">
        <v>284</v>
      </c>
      <c r="D203" s="52" t="s">
        <v>15</v>
      </c>
      <c r="E203" s="14" t="s">
        <v>270</v>
      </c>
      <c r="F203" s="96">
        <v>10</v>
      </c>
      <c r="I203" s="94"/>
      <c r="J203" s="96" t="s">
        <v>80</v>
      </c>
    </row>
    <row r="204" spans="1:10" ht="31.5" hidden="1" customHeight="1" x14ac:dyDescent="0.25">
      <c r="A204" s="107">
        <v>203</v>
      </c>
      <c r="B204" s="93" t="s">
        <v>318</v>
      </c>
      <c r="C204" s="93" t="s">
        <v>284</v>
      </c>
      <c r="D204" s="52" t="s">
        <v>15</v>
      </c>
      <c r="E204" s="14" t="s">
        <v>270</v>
      </c>
      <c r="F204" s="96">
        <v>11</v>
      </c>
      <c r="I204" s="94"/>
      <c r="J204" s="116"/>
    </row>
    <row r="205" spans="1:10" ht="31.5" hidden="1" customHeight="1" x14ac:dyDescent="0.25">
      <c r="A205" s="107">
        <v>204</v>
      </c>
      <c r="B205" s="93" t="s">
        <v>323</v>
      </c>
      <c r="C205" s="93" t="s">
        <v>284</v>
      </c>
      <c r="D205" s="52" t="s">
        <v>15</v>
      </c>
      <c r="E205" s="14" t="s">
        <v>270</v>
      </c>
      <c r="F205" s="96">
        <v>9</v>
      </c>
      <c r="I205" s="94"/>
      <c r="J205" s="116"/>
    </row>
    <row r="206" spans="1:10" ht="31.5" hidden="1" customHeight="1" x14ac:dyDescent="0.25">
      <c r="A206" s="107">
        <v>205</v>
      </c>
      <c r="B206" s="93" t="s">
        <v>285</v>
      </c>
      <c r="C206" s="93" t="s">
        <v>286</v>
      </c>
      <c r="D206" s="14" t="s">
        <v>253</v>
      </c>
      <c r="E206" s="14" t="s">
        <v>270</v>
      </c>
      <c r="F206" s="96">
        <v>10</v>
      </c>
      <c r="I206" s="94"/>
      <c r="J206" s="97" t="s">
        <v>17</v>
      </c>
    </row>
    <row r="207" spans="1:10" ht="31.5" hidden="1" customHeight="1" x14ac:dyDescent="0.25">
      <c r="A207" s="107">
        <v>206</v>
      </c>
      <c r="B207" s="93" t="s">
        <v>301</v>
      </c>
      <c r="C207" s="93" t="s">
        <v>302</v>
      </c>
      <c r="D207" s="14" t="s">
        <v>253</v>
      </c>
      <c r="E207" s="14" t="s">
        <v>270</v>
      </c>
      <c r="F207" s="96">
        <v>9</v>
      </c>
      <c r="I207" s="94"/>
      <c r="J207" s="96" t="s">
        <v>80</v>
      </c>
    </row>
    <row r="208" spans="1:10" ht="31.5" hidden="1" customHeight="1" x14ac:dyDescent="0.25">
      <c r="A208" s="107">
        <v>207</v>
      </c>
      <c r="B208" s="93" t="s">
        <v>296</v>
      </c>
      <c r="C208" s="93" t="s">
        <v>286</v>
      </c>
      <c r="D208" s="14" t="s">
        <v>253</v>
      </c>
      <c r="E208" s="14" t="s">
        <v>270</v>
      </c>
      <c r="F208" s="96">
        <v>9</v>
      </c>
      <c r="I208" s="94"/>
      <c r="J208" s="116"/>
    </row>
    <row r="209" spans="1:10" ht="31.5" hidden="1" customHeight="1" x14ac:dyDescent="0.25">
      <c r="A209" s="107">
        <v>208</v>
      </c>
      <c r="B209" s="93" t="s">
        <v>316</v>
      </c>
      <c r="C209" s="93" t="s">
        <v>286</v>
      </c>
      <c r="D209" s="14" t="s">
        <v>253</v>
      </c>
      <c r="E209" s="14" t="s">
        <v>270</v>
      </c>
      <c r="F209" s="96">
        <v>9</v>
      </c>
      <c r="I209" s="94"/>
      <c r="J209" s="116"/>
    </row>
    <row r="210" spans="1:10" ht="31.5" hidden="1" customHeight="1" x14ac:dyDescent="0.25">
      <c r="A210" s="107">
        <v>209</v>
      </c>
      <c r="B210" s="93" t="s">
        <v>320</v>
      </c>
      <c r="C210" s="93" t="s">
        <v>286</v>
      </c>
      <c r="D210" s="14" t="s">
        <v>253</v>
      </c>
      <c r="E210" s="14" t="s">
        <v>270</v>
      </c>
      <c r="F210" s="96">
        <v>9</v>
      </c>
      <c r="I210" s="94"/>
      <c r="J210" s="116"/>
    </row>
    <row r="211" spans="1:10" ht="31.5" hidden="1" customHeight="1" x14ac:dyDescent="0.25">
      <c r="A211" s="107">
        <v>210</v>
      </c>
      <c r="B211" s="93" t="s">
        <v>325</v>
      </c>
      <c r="C211" s="93" t="s">
        <v>326</v>
      </c>
      <c r="D211" s="53" t="s">
        <v>16</v>
      </c>
      <c r="E211" s="14" t="s">
        <v>270</v>
      </c>
      <c r="F211" s="96">
        <v>9</v>
      </c>
      <c r="I211" s="94"/>
      <c r="J211" s="116"/>
    </row>
    <row r="212" spans="1:10" ht="31.5" hidden="1" customHeight="1" x14ac:dyDescent="0.25">
      <c r="A212" s="107">
        <v>211</v>
      </c>
      <c r="B212" s="93" t="s">
        <v>303</v>
      </c>
      <c r="C212" s="93" t="s">
        <v>304</v>
      </c>
      <c r="D212" s="14" t="s">
        <v>14</v>
      </c>
      <c r="E212" s="14" t="s">
        <v>270</v>
      </c>
      <c r="F212" s="96">
        <v>10</v>
      </c>
      <c r="I212" s="94"/>
      <c r="J212" s="96" t="s">
        <v>80</v>
      </c>
    </row>
    <row r="213" spans="1:10" ht="31.5" hidden="1" customHeight="1" x14ac:dyDescent="0.25">
      <c r="A213" s="107">
        <v>212</v>
      </c>
      <c r="B213" s="93" t="s">
        <v>315</v>
      </c>
      <c r="C213" s="93" t="s">
        <v>304</v>
      </c>
      <c r="D213" s="14" t="s">
        <v>14</v>
      </c>
      <c r="E213" s="14" t="s">
        <v>270</v>
      </c>
      <c r="F213" s="96">
        <v>11</v>
      </c>
      <c r="I213" s="94"/>
      <c r="J213" s="116"/>
    </row>
    <row r="214" spans="1:10" ht="31.5" hidden="1" customHeight="1" x14ac:dyDescent="0.25">
      <c r="A214" s="107">
        <v>213</v>
      </c>
      <c r="B214" s="128" t="s">
        <v>310</v>
      </c>
      <c r="C214" s="128" t="s">
        <v>311</v>
      </c>
      <c r="D214" s="102" t="s">
        <v>20</v>
      </c>
      <c r="E214" s="102" t="s">
        <v>270</v>
      </c>
      <c r="F214" s="129">
        <v>10</v>
      </c>
      <c r="G214" s="115"/>
      <c r="H214" s="115"/>
      <c r="I214" s="94"/>
      <c r="J214" s="129" t="s">
        <v>80</v>
      </c>
    </row>
    <row r="215" spans="1:10" ht="31.5" hidden="1" customHeight="1" x14ac:dyDescent="0.25">
      <c r="A215" s="107">
        <v>214</v>
      </c>
      <c r="B215" s="128" t="s">
        <v>314</v>
      </c>
      <c r="C215" s="128" t="s">
        <v>311</v>
      </c>
      <c r="D215" s="102" t="s">
        <v>20</v>
      </c>
      <c r="E215" s="102" t="s">
        <v>270</v>
      </c>
      <c r="F215" s="129">
        <v>11</v>
      </c>
      <c r="G215" s="115"/>
      <c r="H215" s="115"/>
      <c r="I215" s="94"/>
      <c r="J215" s="127"/>
    </row>
    <row r="216" spans="1:10" ht="31.5" hidden="1" customHeight="1" x14ac:dyDescent="0.25">
      <c r="A216" s="107">
        <v>215</v>
      </c>
      <c r="B216" s="128" t="s">
        <v>321</v>
      </c>
      <c r="C216" s="128" t="s">
        <v>311</v>
      </c>
      <c r="D216" s="102" t="s">
        <v>20</v>
      </c>
      <c r="E216" s="102" t="s">
        <v>270</v>
      </c>
      <c r="F216" s="129">
        <v>9</v>
      </c>
      <c r="G216" s="115"/>
      <c r="H216" s="115"/>
      <c r="I216" s="94"/>
      <c r="J216" s="127"/>
    </row>
    <row r="217" spans="1:10" ht="31.5" hidden="1" customHeight="1" x14ac:dyDescent="0.25">
      <c r="A217" s="107">
        <v>216</v>
      </c>
      <c r="B217" s="128" t="s">
        <v>172</v>
      </c>
      <c r="C217" s="128" t="s">
        <v>295</v>
      </c>
      <c r="D217" s="102" t="s">
        <v>12</v>
      </c>
      <c r="E217" s="102" t="s">
        <v>270</v>
      </c>
      <c r="F217" s="129">
        <v>11</v>
      </c>
      <c r="G217" s="115"/>
      <c r="H217" s="115"/>
      <c r="I217" s="94"/>
      <c r="J217" s="129" t="s">
        <v>80</v>
      </c>
    </row>
    <row r="218" spans="1:10" ht="31.5" hidden="1" customHeight="1" x14ac:dyDescent="0.25">
      <c r="A218" s="107">
        <v>217</v>
      </c>
      <c r="B218" s="93" t="s">
        <v>294</v>
      </c>
      <c r="C218" s="93" t="s">
        <v>295</v>
      </c>
      <c r="D218" s="14" t="s">
        <v>12</v>
      </c>
      <c r="E218" s="14" t="s">
        <v>270</v>
      </c>
      <c r="F218" s="96">
        <v>11</v>
      </c>
      <c r="I218" s="94"/>
      <c r="J218" s="116"/>
    </row>
    <row r="219" spans="1:10" ht="31.5" hidden="1" customHeight="1" x14ac:dyDescent="0.25">
      <c r="A219" s="107">
        <v>218</v>
      </c>
      <c r="B219" s="93" t="s">
        <v>197</v>
      </c>
      <c r="C219" s="93" t="s">
        <v>295</v>
      </c>
      <c r="D219" s="14" t="s">
        <v>12</v>
      </c>
      <c r="E219" s="14" t="s">
        <v>270</v>
      </c>
      <c r="F219" s="96">
        <v>10</v>
      </c>
      <c r="I219" s="94"/>
      <c r="J219" s="116"/>
    </row>
    <row r="220" spans="1:10" ht="31.5" hidden="1" customHeight="1" x14ac:dyDescent="0.25">
      <c r="A220" s="107">
        <v>219</v>
      </c>
      <c r="B220" s="93" t="s">
        <v>322</v>
      </c>
      <c r="C220" s="93" t="s">
        <v>295</v>
      </c>
      <c r="D220" s="14" t="s">
        <v>12</v>
      </c>
      <c r="E220" s="14" t="s">
        <v>270</v>
      </c>
      <c r="F220" s="96">
        <v>9</v>
      </c>
      <c r="I220" s="94"/>
      <c r="J220" s="116"/>
    </row>
    <row r="221" spans="1:10" ht="31.5" hidden="1" customHeight="1" x14ac:dyDescent="0.25">
      <c r="A221" s="107">
        <v>220</v>
      </c>
      <c r="B221" s="93" t="s">
        <v>298</v>
      </c>
      <c r="C221" s="93" t="s">
        <v>299</v>
      </c>
      <c r="D221" s="52" t="s">
        <v>13</v>
      </c>
      <c r="E221" s="14" t="s">
        <v>270</v>
      </c>
      <c r="F221" s="96">
        <v>11</v>
      </c>
      <c r="I221" s="94"/>
      <c r="J221" s="97" t="s">
        <v>17</v>
      </c>
    </row>
    <row r="222" spans="1:10" ht="31.5" hidden="1" customHeight="1" x14ac:dyDescent="0.25">
      <c r="A222" s="107">
        <v>221</v>
      </c>
      <c r="B222" s="93" t="s">
        <v>149</v>
      </c>
      <c r="C222" s="93" t="s">
        <v>289</v>
      </c>
      <c r="D222" s="52" t="s">
        <v>13</v>
      </c>
      <c r="E222" s="14" t="s">
        <v>270</v>
      </c>
      <c r="F222" s="96">
        <v>10</v>
      </c>
      <c r="I222" s="94"/>
      <c r="J222" s="96" t="s">
        <v>80</v>
      </c>
    </row>
    <row r="223" spans="1:10" ht="31.5" hidden="1" customHeight="1" x14ac:dyDescent="0.25">
      <c r="A223" s="107">
        <v>222</v>
      </c>
      <c r="B223" s="93" t="s">
        <v>290</v>
      </c>
      <c r="C223" s="93" t="s">
        <v>289</v>
      </c>
      <c r="D223" s="52" t="s">
        <v>13</v>
      </c>
      <c r="E223" s="14" t="s">
        <v>270</v>
      </c>
      <c r="F223" s="96">
        <v>9</v>
      </c>
      <c r="I223" s="94"/>
      <c r="J223" s="96" t="s">
        <v>80</v>
      </c>
    </row>
    <row r="224" spans="1:10" ht="31.5" hidden="1" customHeight="1" x14ac:dyDescent="0.25">
      <c r="A224" s="107">
        <v>223</v>
      </c>
      <c r="B224" s="93" t="s">
        <v>309</v>
      </c>
      <c r="C224" s="93" t="s">
        <v>299</v>
      </c>
      <c r="D224" s="52" t="s">
        <v>13</v>
      </c>
      <c r="E224" s="14" t="s">
        <v>270</v>
      </c>
      <c r="F224" s="96">
        <v>10</v>
      </c>
      <c r="I224" s="94"/>
      <c r="J224" s="96" t="s">
        <v>80</v>
      </c>
    </row>
    <row r="225" spans="1:10" ht="31.5" hidden="1" customHeight="1" x14ac:dyDescent="0.25">
      <c r="A225" s="107">
        <v>224</v>
      </c>
      <c r="B225" s="93" t="s">
        <v>293</v>
      </c>
      <c r="C225" s="93" t="s">
        <v>289</v>
      </c>
      <c r="D225" s="52" t="s">
        <v>13</v>
      </c>
      <c r="E225" s="14" t="s">
        <v>270</v>
      </c>
      <c r="F225" s="96">
        <v>9</v>
      </c>
      <c r="I225" s="94"/>
      <c r="J225" s="116"/>
    </row>
    <row r="226" spans="1:10" ht="31.5" hidden="1" customHeight="1" x14ac:dyDescent="0.25">
      <c r="A226" s="107">
        <v>225</v>
      </c>
      <c r="B226" s="93" t="s">
        <v>312</v>
      </c>
      <c r="C226" s="93" t="s">
        <v>289</v>
      </c>
      <c r="D226" s="52" t="s">
        <v>13</v>
      </c>
      <c r="E226" s="14" t="s">
        <v>270</v>
      </c>
      <c r="F226" s="96">
        <v>9</v>
      </c>
      <c r="I226" s="94"/>
      <c r="J226" s="116"/>
    </row>
    <row r="227" spans="1:10" ht="31.5" hidden="1" customHeight="1" x14ac:dyDescent="0.25">
      <c r="A227" s="107">
        <v>226</v>
      </c>
      <c r="B227" s="93" t="s">
        <v>319</v>
      </c>
      <c r="C227" s="93" t="s">
        <v>289</v>
      </c>
      <c r="D227" s="52" t="s">
        <v>13</v>
      </c>
      <c r="E227" s="14" t="s">
        <v>270</v>
      </c>
      <c r="F227" s="96">
        <v>9</v>
      </c>
      <c r="I227" s="94"/>
      <c r="J227" s="116"/>
    </row>
    <row r="228" spans="1:10" ht="31.5" hidden="1" customHeight="1" x14ac:dyDescent="0.25">
      <c r="A228" s="107">
        <v>227</v>
      </c>
      <c r="B228" s="93" t="s">
        <v>324</v>
      </c>
      <c r="C228" s="93" t="s">
        <v>289</v>
      </c>
      <c r="D228" s="52" t="s">
        <v>13</v>
      </c>
      <c r="E228" s="14" t="s">
        <v>270</v>
      </c>
      <c r="F228" s="96">
        <v>9</v>
      </c>
      <c r="I228" s="94"/>
      <c r="J228" s="116"/>
    </row>
    <row r="229" spans="1:10" ht="31.5" hidden="1" customHeight="1" x14ac:dyDescent="0.25">
      <c r="A229" s="107">
        <v>228</v>
      </c>
      <c r="B229" s="93" t="s">
        <v>287</v>
      </c>
      <c r="C229" s="93" t="s">
        <v>288</v>
      </c>
      <c r="D229" s="14" t="s">
        <v>25</v>
      </c>
      <c r="E229" s="14" t="s">
        <v>270</v>
      </c>
      <c r="F229" s="96">
        <v>10</v>
      </c>
      <c r="I229" s="94"/>
      <c r="J229" s="97" t="s">
        <v>18</v>
      </c>
    </row>
    <row r="230" spans="1:10" ht="31.5" hidden="1" customHeight="1" x14ac:dyDescent="0.25">
      <c r="A230" s="107">
        <v>229</v>
      </c>
      <c r="B230" s="93" t="s">
        <v>292</v>
      </c>
      <c r="C230" s="93" t="s">
        <v>288</v>
      </c>
      <c r="D230" s="14" t="s">
        <v>25</v>
      </c>
      <c r="E230" s="14" t="s">
        <v>270</v>
      </c>
      <c r="F230" s="96">
        <v>9</v>
      </c>
      <c r="I230" s="94"/>
      <c r="J230" s="96" t="s">
        <v>80</v>
      </c>
    </row>
    <row r="231" spans="1:10" ht="31.5" hidden="1" customHeight="1" x14ac:dyDescent="0.25">
      <c r="A231" s="107">
        <v>230</v>
      </c>
      <c r="B231" s="93" t="s">
        <v>305</v>
      </c>
      <c r="C231" s="93" t="s">
        <v>306</v>
      </c>
      <c r="D231" s="14" t="s">
        <v>25</v>
      </c>
      <c r="E231" s="14" t="s">
        <v>270</v>
      </c>
      <c r="F231" s="96">
        <v>11</v>
      </c>
      <c r="I231" s="94"/>
      <c r="J231" s="96" t="s">
        <v>80</v>
      </c>
    </row>
    <row r="232" spans="1:10" ht="31.5" hidden="1" customHeight="1" x14ac:dyDescent="0.25">
      <c r="A232" s="107">
        <v>231</v>
      </c>
      <c r="B232" s="93" t="s">
        <v>307</v>
      </c>
      <c r="C232" s="93" t="s">
        <v>306</v>
      </c>
      <c r="D232" s="14" t="s">
        <v>25</v>
      </c>
      <c r="E232" s="14" t="s">
        <v>270</v>
      </c>
      <c r="F232" s="96">
        <v>11</v>
      </c>
      <c r="I232" s="94"/>
      <c r="J232" s="96" t="s">
        <v>80</v>
      </c>
    </row>
    <row r="233" spans="1:10" ht="31.5" hidden="1" customHeight="1" x14ac:dyDescent="0.25">
      <c r="A233" s="107">
        <v>232</v>
      </c>
      <c r="B233" s="93" t="s">
        <v>308</v>
      </c>
      <c r="C233" s="93" t="s">
        <v>288</v>
      </c>
      <c r="D233" s="14" t="s">
        <v>25</v>
      </c>
      <c r="E233" s="14" t="s">
        <v>270</v>
      </c>
      <c r="F233" s="96">
        <v>9</v>
      </c>
      <c r="I233" s="94"/>
      <c r="J233" s="96" t="s">
        <v>80</v>
      </c>
    </row>
    <row r="234" spans="1:10" ht="31.5" hidden="1" customHeight="1" x14ac:dyDescent="0.25">
      <c r="A234" s="107">
        <v>233</v>
      </c>
      <c r="B234" s="93" t="s">
        <v>317</v>
      </c>
      <c r="C234" s="93" t="s">
        <v>306</v>
      </c>
      <c r="D234" s="14" t="s">
        <v>25</v>
      </c>
      <c r="E234" s="14" t="s">
        <v>270</v>
      </c>
      <c r="F234" s="96">
        <v>11</v>
      </c>
      <c r="I234" s="94"/>
      <c r="J234" s="116"/>
    </row>
    <row r="235" spans="1:10" ht="31.5" hidden="1" customHeight="1" x14ac:dyDescent="0.25">
      <c r="A235" s="107">
        <v>234</v>
      </c>
      <c r="B235" s="93" t="s">
        <v>194</v>
      </c>
      <c r="C235" s="93" t="s">
        <v>297</v>
      </c>
      <c r="D235" s="14" t="s">
        <v>147</v>
      </c>
      <c r="E235" s="14" t="s">
        <v>270</v>
      </c>
      <c r="F235" s="96">
        <v>11</v>
      </c>
      <c r="I235" s="94"/>
      <c r="J235" s="97" t="s">
        <v>19</v>
      </c>
    </row>
    <row r="236" spans="1:10" ht="31.5" hidden="1" customHeight="1" x14ac:dyDescent="0.25">
      <c r="A236" s="107">
        <v>235</v>
      </c>
      <c r="B236" s="93" t="s">
        <v>300</v>
      </c>
      <c r="C236" s="93" t="s">
        <v>297</v>
      </c>
      <c r="D236" s="14" t="s">
        <v>147</v>
      </c>
      <c r="E236" s="14" t="s">
        <v>270</v>
      </c>
      <c r="F236" s="96">
        <v>10</v>
      </c>
      <c r="I236" s="94"/>
      <c r="J236" s="97" t="s">
        <v>18</v>
      </c>
    </row>
    <row r="237" spans="1:10" ht="31.5" hidden="1" customHeight="1" x14ac:dyDescent="0.25">
      <c r="A237" s="107">
        <v>236</v>
      </c>
      <c r="B237" s="93" t="s">
        <v>313</v>
      </c>
      <c r="C237" s="93" t="s">
        <v>297</v>
      </c>
      <c r="D237" s="14" t="s">
        <v>147</v>
      </c>
      <c r="E237" s="14" t="s">
        <v>270</v>
      </c>
      <c r="F237" s="96">
        <v>10</v>
      </c>
      <c r="I237" s="94"/>
      <c r="J237" s="116"/>
    </row>
    <row r="238" spans="1:10" ht="31.5" customHeight="1" x14ac:dyDescent="0.25">
      <c r="A238" s="107">
        <v>237</v>
      </c>
      <c r="B238" s="14" t="s">
        <v>239</v>
      </c>
      <c r="C238" s="14" t="s">
        <v>141</v>
      </c>
      <c r="D238" s="14" t="s">
        <v>15</v>
      </c>
      <c r="E238" s="14" t="s">
        <v>170</v>
      </c>
      <c r="F238" s="144">
        <v>9</v>
      </c>
      <c r="G238" s="92">
        <v>100</v>
      </c>
      <c r="H238" s="92">
        <v>17</v>
      </c>
      <c r="I238" s="151">
        <f t="shared" ref="I238:I252" si="8">H238/G238</f>
        <v>0.17</v>
      </c>
      <c r="J238" s="92"/>
    </row>
    <row r="239" spans="1:10" ht="31.5" customHeight="1" x14ac:dyDescent="0.25">
      <c r="A239" s="107">
        <v>238</v>
      </c>
      <c r="B239" s="14" t="s">
        <v>235</v>
      </c>
      <c r="C239" s="14" t="s">
        <v>168</v>
      </c>
      <c r="D239" s="14" t="s">
        <v>14</v>
      </c>
      <c r="E239" s="14" t="s">
        <v>170</v>
      </c>
      <c r="F239" s="144">
        <v>9</v>
      </c>
      <c r="G239" s="92">
        <v>100</v>
      </c>
      <c r="H239" s="92">
        <v>11.5</v>
      </c>
      <c r="I239" s="152">
        <f t="shared" si="8"/>
        <v>0.115</v>
      </c>
      <c r="J239" s="92"/>
    </row>
    <row r="240" spans="1:10" ht="31.5" customHeight="1" x14ac:dyDescent="0.25">
      <c r="A240" s="107">
        <v>239</v>
      </c>
      <c r="B240" s="14" t="s">
        <v>129</v>
      </c>
      <c r="C240" s="14" t="s">
        <v>168</v>
      </c>
      <c r="D240" s="14" t="s">
        <v>14</v>
      </c>
      <c r="E240" s="14" t="s">
        <v>170</v>
      </c>
      <c r="F240" s="144">
        <v>9</v>
      </c>
      <c r="G240" s="92">
        <v>100</v>
      </c>
      <c r="H240" s="92">
        <v>11</v>
      </c>
      <c r="I240" s="151">
        <f t="shared" si="8"/>
        <v>0.11</v>
      </c>
      <c r="J240" s="92"/>
    </row>
    <row r="241" spans="1:10" ht="31.5" customHeight="1" x14ac:dyDescent="0.25">
      <c r="A241" s="107">
        <v>240</v>
      </c>
      <c r="B241" s="14" t="s">
        <v>229</v>
      </c>
      <c r="C241" s="14" t="s">
        <v>168</v>
      </c>
      <c r="D241" s="14" t="s">
        <v>14</v>
      </c>
      <c r="E241" s="14" t="s">
        <v>170</v>
      </c>
      <c r="F241" s="144">
        <v>10</v>
      </c>
      <c r="G241" s="92">
        <v>100</v>
      </c>
      <c r="H241" s="92">
        <v>8</v>
      </c>
      <c r="I241" s="151">
        <f t="shared" si="8"/>
        <v>0.08</v>
      </c>
      <c r="J241" s="92"/>
    </row>
    <row r="242" spans="1:10" ht="31.5" customHeight="1" x14ac:dyDescent="0.25">
      <c r="A242" s="107">
        <v>241</v>
      </c>
      <c r="B242" s="14" t="s">
        <v>246</v>
      </c>
      <c r="C242" s="14" t="s">
        <v>168</v>
      </c>
      <c r="D242" s="14" t="s">
        <v>14</v>
      </c>
      <c r="E242" s="14" t="s">
        <v>170</v>
      </c>
      <c r="F242" s="144">
        <v>10</v>
      </c>
      <c r="G242" s="92">
        <v>100</v>
      </c>
      <c r="H242" s="92">
        <v>22.5</v>
      </c>
      <c r="I242" s="152">
        <f t="shared" si="8"/>
        <v>0.22500000000000001</v>
      </c>
      <c r="J242" s="92"/>
    </row>
    <row r="243" spans="1:10" ht="31.5" customHeight="1" x14ac:dyDescent="0.25">
      <c r="A243" s="107">
        <v>242</v>
      </c>
      <c r="B243" s="14" t="s">
        <v>267</v>
      </c>
      <c r="C243" s="14" t="s">
        <v>168</v>
      </c>
      <c r="D243" s="14" t="s">
        <v>14</v>
      </c>
      <c r="E243" s="14" t="s">
        <v>170</v>
      </c>
      <c r="F243" s="144">
        <v>10</v>
      </c>
      <c r="G243" s="92">
        <v>100</v>
      </c>
      <c r="H243" s="92">
        <v>6</v>
      </c>
      <c r="I243" s="151">
        <f t="shared" si="8"/>
        <v>0.06</v>
      </c>
      <c r="J243" s="92"/>
    </row>
    <row r="244" spans="1:10" ht="31.5" customHeight="1" x14ac:dyDescent="0.25">
      <c r="A244" s="107">
        <v>243</v>
      </c>
      <c r="B244" s="14" t="s">
        <v>230</v>
      </c>
      <c r="C244" s="14" t="s">
        <v>168</v>
      </c>
      <c r="D244" s="14" t="s">
        <v>14</v>
      </c>
      <c r="E244" s="14" t="s">
        <v>170</v>
      </c>
      <c r="F244" s="144">
        <v>11</v>
      </c>
      <c r="G244" s="92">
        <v>100</v>
      </c>
      <c r="H244" s="92">
        <v>4</v>
      </c>
      <c r="I244" s="151">
        <f t="shared" si="8"/>
        <v>0.04</v>
      </c>
      <c r="J244" s="92"/>
    </row>
    <row r="245" spans="1:10" ht="31.5" customHeight="1" x14ac:dyDescent="0.25">
      <c r="A245" s="107">
        <v>244</v>
      </c>
      <c r="B245" s="14" t="s">
        <v>223</v>
      </c>
      <c r="C245" s="14" t="s">
        <v>368</v>
      </c>
      <c r="D245" s="14" t="s">
        <v>13</v>
      </c>
      <c r="E245" s="14" t="s">
        <v>170</v>
      </c>
      <c r="F245" s="144">
        <v>9</v>
      </c>
      <c r="G245" s="92">
        <v>100</v>
      </c>
      <c r="H245" s="92">
        <v>14</v>
      </c>
      <c r="I245" s="94">
        <f t="shared" si="8"/>
        <v>0.14000000000000001</v>
      </c>
      <c r="J245" s="92"/>
    </row>
    <row r="246" spans="1:10" ht="31.5" customHeight="1" x14ac:dyDescent="0.25">
      <c r="A246" s="107">
        <v>245</v>
      </c>
      <c r="B246" s="14" t="s">
        <v>143</v>
      </c>
      <c r="C246" s="14" t="s">
        <v>171</v>
      </c>
      <c r="D246" s="14" t="s">
        <v>13</v>
      </c>
      <c r="E246" s="14" t="s">
        <v>170</v>
      </c>
      <c r="F246" s="144">
        <v>10</v>
      </c>
      <c r="G246" s="92">
        <v>100</v>
      </c>
      <c r="H246" s="92">
        <v>16</v>
      </c>
      <c r="I246" s="94">
        <f t="shared" si="8"/>
        <v>0.16</v>
      </c>
      <c r="J246" s="92"/>
    </row>
    <row r="247" spans="1:10" ht="31.5" customHeight="1" x14ac:dyDescent="0.25">
      <c r="A247" s="107">
        <v>246</v>
      </c>
      <c r="B247" s="93" t="s">
        <v>97</v>
      </c>
      <c r="C247" s="93" t="s">
        <v>171</v>
      </c>
      <c r="D247" s="93" t="s">
        <v>13</v>
      </c>
      <c r="E247" s="93" t="s">
        <v>170</v>
      </c>
      <c r="F247" s="96">
        <v>11</v>
      </c>
      <c r="G247" s="96">
        <v>100</v>
      </c>
      <c r="H247" s="96">
        <v>8.5</v>
      </c>
      <c r="I247" s="131">
        <f t="shared" si="8"/>
        <v>8.5000000000000006E-2</v>
      </c>
      <c r="J247" s="96"/>
    </row>
    <row r="248" spans="1:10" ht="31.5" customHeight="1" x14ac:dyDescent="0.25">
      <c r="A248" s="107">
        <v>247</v>
      </c>
      <c r="B248" s="93" t="s">
        <v>372</v>
      </c>
      <c r="C248" s="93" t="s">
        <v>171</v>
      </c>
      <c r="D248" s="93" t="s">
        <v>13</v>
      </c>
      <c r="E248" s="93" t="s">
        <v>170</v>
      </c>
      <c r="F248" s="96">
        <v>11</v>
      </c>
      <c r="G248" s="96">
        <v>100</v>
      </c>
      <c r="H248" s="96">
        <v>13.5</v>
      </c>
      <c r="I248" s="131">
        <f t="shared" si="8"/>
        <v>0.13500000000000001</v>
      </c>
      <c r="J248" s="96"/>
    </row>
    <row r="249" spans="1:10" ht="31.5" customHeight="1" x14ac:dyDescent="0.25">
      <c r="A249" s="107">
        <v>248</v>
      </c>
      <c r="B249" s="14" t="s">
        <v>369</v>
      </c>
      <c r="C249" s="14" t="s">
        <v>169</v>
      </c>
      <c r="D249" s="14" t="s">
        <v>25</v>
      </c>
      <c r="E249" s="14" t="s">
        <v>170</v>
      </c>
      <c r="F249" s="144">
        <v>9</v>
      </c>
      <c r="G249" s="92">
        <v>100</v>
      </c>
      <c r="H249" s="92">
        <v>10</v>
      </c>
      <c r="I249" s="94">
        <f t="shared" si="8"/>
        <v>0.1</v>
      </c>
      <c r="J249" s="92"/>
    </row>
    <row r="250" spans="1:10" ht="31.5" customHeight="1" x14ac:dyDescent="0.25">
      <c r="A250" s="107">
        <v>249</v>
      </c>
      <c r="B250" s="14" t="s">
        <v>105</v>
      </c>
      <c r="C250" s="14" t="s">
        <v>169</v>
      </c>
      <c r="D250" s="14" t="s">
        <v>25</v>
      </c>
      <c r="E250" s="14" t="s">
        <v>170</v>
      </c>
      <c r="F250" s="144">
        <v>10</v>
      </c>
      <c r="G250" s="92">
        <v>100</v>
      </c>
      <c r="H250" s="92">
        <v>10</v>
      </c>
      <c r="I250" s="94">
        <f t="shared" si="8"/>
        <v>0.1</v>
      </c>
      <c r="J250" s="92"/>
    </row>
    <row r="251" spans="1:10" ht="31.5" customHeight="1" x14ac:dyDescent="0.25">
      <c r="A251" s="107">
        <v>250</v>
      </c>
      <c r="B251" s="93" t="s">
        <v>90</v>
      </c>
      <c r="C251" s="93" t="s">
        <v>169</v>
      </c>
      <c r="D251" s="93" t="s">
        <v>25</v>
      </c>
      <c r="E251" s="93" t="s">
        <v>170</v>
      </c>
      <c r="F251" s="96">
        <v>11</v>
      </c>
      <c r="G251" s="96">
        <v>100</v>
      </c>
      <c r="H251" s="96">
        <v>12.5</v>
      </c>
      <c r="I251" s="131">
        <f t="shared" si="8"/>
        <v>0.125</v>
      </c>
      <c r="J251" s="96"/>
    </row>
    <row r="252" spans="1:10" ht="31.5" customHeight="1" x14ac:dyDescent="0.25">
      <c r="A252" s="107">
        <v>251</v>
      </c>
      <c r="B252" s="14" t="s">
        <v>370</v>
      </c>
      <c r="C252" s="14" t="s">
        <v>371</v>
      </c>
      <c r="D252" s="14" t="s">
        <v>118</v>
      </c>
      <c r="E252" s="14" t="s">
        <v>170</v>
      </c>
      <c r="F252" s="144">
        <v>9</v>
      </c>
      <c r="G252" s="92">
        <v>100</v>
      </c>
      <c r="H252" s="92">
        <v>15.5</v>
      </c>
      <c r="I252" s="131">
        <f t="shared" si="8"/>
        <v>0.155</v>
      </c>
      <c r="J252" s="92"/>
    </row>
    <row r="253" spans="1:10" hidden="1" x14ac:dyDescent="0.25">
      <c r="A253" s="114"/>
      <c r="B253" s="103"/>
      <c r="C253" s="103"/>
      <c r="D253" s="103"/>
      <c r="F253" s="115"/>
      <c r="G253" s="115"/>
      <c r="H253" s="115"/>
      <c r="I253" s="115"/>
      <c r="J253" s="146"/>
    </row>
    <row r="254" spans="1:10" hidden="1" x14ac:dyDescent="0.25">
      <c r="B254" s="120"/>
    </row>
    <row r="255" spans="1:10" hidden="1" x14ac:dyDescent="0.25">
      <c r="C255" s="120"/>
    </row>
  </sheetData>
  <autoFilter ref="E1:E255">
    <filterColumn colId="0">
      <filters>
        <filter val="химия"/>
      </filters>
    </filterColumn>
  </autoFilter>
  <sortState ref="A2:P255">
    <sortCondition ref="E2:E255"/>
  </sortState>
  <pageMargins left="0.35433070866141736" right="0.23622047244094491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16" sqref="A16"/>
    </sheetView>
  </sheetViews>
  <sheetFormatPr defaultRowHeight="15" x14ac:dyDescent="0.25"/>
  <cols>
    <col min="1" max="1" width="5.42578125" style="5" customWidth="1"/>
    <col min="2" max="2" width="41" style="5" customWidth="1"/>
    <col min="3" max="3" width="10.7109375" style="5" customWidth="1"/>
    <col min="4" max="4" width="7.140625" style="5" customWidth="1"/>
    <col min="5" max="5" width="9.28515625" style="5" customWidth="1"/>
    <col min="6" max="6" width="14.7109375" style="5" customWidth="1"/>
    <col min="7" max="7" width="11.28515625" style="5" customWidth="1"/>
    <col min="8" max="8" width="13" style="5" customWidth="1"/>
    <col min="9" max="9" width="10" style="5" customWidth="1"/>
    <col min="10" max="16384" width="9.140625" style="5"/>
  </cols>
  <sheetData>
    <row r="1" spans="1:9" ht="75.75" customHeight="1" x14ac:dyDescent="0.25">
      <c r="A1" s="159" t="s">
        <v>396</v>
      </c>
      <c r="B1" s="160"/>
      <c r="C1" s="160"/>
      <c r="D1" s="160"/>
      <c r="E1" s="160"/>
      <c r="F1" s="160"/>
      <c r="G1" s="157" t="s">
        <v>27</v>
      </c>
      <c r="H1" s="153" t="s">
        <v>77</v>
      </c>
      <c r="I1" s="154" t="s">
        <v>78</v>
      </c>
    </row>
    <row r="2" spans="1:9" ht="15.75" x14ac:dyDescent="0.25">
      <c r="A2" s="161" t="s">
        <v>22</v>
      </c>
      <c r="B2" s="161" t="s">
        <v>1</v>
      </c>
      <c r="C2" s="161" t="s">
        <v>23</v>
      </c>
      <c r="D2" s="160"/>
      <c r="E2" s="160"/>
      <c r="F2" s="162" t="s">
        <v>24</v>
      </c>
      <c r="G2" s="158"/>
      <c r="H2" s="153"/>
      <c r="I2" s="155"/>
    </row>
    <row r="3" spans="1:9" ht="15.75" x14ac:dyDescent="0.25">
      <c r="A3" s="160"/>
      <c r="B3" s="160"/>
      <c r="C3" s="65" t="s">
        <v>19</v>
      </c>
      <c r="D3" s="65" t="s">
        <v>17</v>
      </c>
      <c r="E3" s="65" t="s">
        <v>18</v>
      </c>
      <c r="F3" s="163"/>
      <c r="G3" s="158"/>
      <c r="H3" s="153"/>
      <c r="I3" s="156"/>
    </row>
    <row r="4" spans="1:9" ht="15.75" x14ac:dyDescent="0.25">
      <c r="A4" s="6">
        <v>1</v>
      </c>
      <c r="B4" s="9" t="s">
        <v>13</v>
      </c>
      <c r="C4" s="6">
        <f>COUNTIFS('Самопроверка по школам'!J2:J259,"I",'Самопроверка по школам'!D2:D259,"СШ №1 г.Сенно")</f>
        <v>0</v>
      </c>
      <c r="D4" s="6">
        <f>COUNTIFS('Самопроверка по школам'!J2:J259,"II",'Самопроверка по школам'!D2:D259,"СШ №1 г.Сенно")</f>
        <v>2</v>
      </c>
      <c r="E4" s="6">
        <f>COUNTIFS('Самопроверка по школам'!J2:J259,"III",'Самопроверка по школам'!D2:D259,"СШ №1 г.Сенно")</f>
        <v>11</v>
      </c>
      <c r="F4" s="6">
        <f>COUNTIFS('Самопроверка по школам'!J2:J259,"п.л.",'Самопроверка по школам'!D2:D259,"СШ №1 г.Сенно")</f>
        <v>12</v>
      </c>
      <c r="G4" s="19">
        <f>SUM(C4,D4,E4)</f>
        <v>13</v>
      </c>
      <c r="H4" s="8">
        <f>COUNTIF('Самопроверка по школам'!$D$2:$D$259,"СШ №1 г.Сенно")</f>
        <v>58</v>
      </c>
      <c r="I4" s="47">
        <f>G4/H4</f>
        <v>0.22413793103448276</v>
      </c>
    </row>
    <row r="5" spans="1:9" ht="15.75" x14ac:dyDescent="0.25">
      <c r="A5" s="6">
        <v>2</v>
      </c>
      <c r="B5" s="7" t="s">
        <v>25</v>
      </c>
      <c r="C5" s="6">
        <f>COUNTIFS('Самопроверка по школам'!J2:J259,"I",'Самопроверка по школам'!D2:D259,"СШ №2г.Сенно")</f>
        <v>5</v>
      </c>
      <c r="D5" s="6">
        <f>COUNTIFS('Самопроверка по школам'!J2:J259,"II",'Самопроверка по школам'!D2:D259,"СШ №2г.Сенно")</f>
        <v>8</v>
      </c>
      <c r="E5" s="6">
        <f>COUNTIFS('Самопроверка по школам'!J2:J259,"III",'Самопроверка по школам'!D2:D259,"СШ №2г.Сенно")</f>
        <v>8</v>
      </c>
      <c r="F5" s="6">
        <f>COUNTIFS('Самопроверка по школам'!J2:J259,"п.л.",'Самопроверка по школам'!D2:D259,"СШ №2г.Сенно")</f>
        <v>14</v>
      </c>
      <c r="G5" s="19">
        <f t="shared" ref="G5:G10" si="0">SUM(C5,D5,E5)</f>
        <v>21</v>
      </c>
      <c r="H5" s="8">
        <f>COUNTIF('Самопроверка по школам'!$D$2:$D$259,"СШ №2г.Сенно")</f>
        <v>64</v>
      </c>
      <c r="I5" s="47">
        <f t="shared" ref="I5:I20" si="1">G5/H5</f>
        <v>0.328125</v>
      </c>
    </row>
    <row r="6" spans="1:9" ht="15.75" hidden="1" x14ac:dyDescent="0.25">
      <c r="A6" s="6">
        <v>3</v>
      </c>
      <c r="B6" s="9"/>
      <c r="C6" s="6"/>
      <c r="D6" s="6"/>
      <c r="E6" s="6"/>
      <c r="F6" s="6"/>
      <c r="G6" s="19"/>
      <c r="H6" s="8"/>
      <c r="I6" s="47"/>
    </row>
    <row r="7" spans="1:9" ht="15.75" x14ac:dyDescent="0.25">
      <c r="A7" s="6">
        <v>3</v>
      </c>
      <c r="B7" s="9" t="s">
        <v>253</v>
      </c>
      <c r="C7" s="41">
        <f>COUNTIFS('Самопроверка по школам'!J2:J259,"I",'Самопроверка по школам'!D2:D259,"Богушевская СШ")</f>
        <v>1</v>
      </c>
      <c r="D7" s="6">
        <f>COUNTIFS('Самопроверка по школам'!J2:J259,"II",'Самопроверка по школам'!D2:D259,"Богушевская СШ")</f>
        <v>2</v>
      </c>
      <c r="E7" s="6">
        <f>COUNTIFS('Самопроверка по школам'!J2:J259,"III",'Самопроверка по школам'!D2:D259,"Богушевская СШ")</f>
        <v>2</v>
      </c>
      <c r="F7" s="6">
        <f>COUNTIFS('Самопроверка по школам'!J2:J259,"п.л.",'Самопроверка по школам'!D2:D259,"Богушевская СШ")</f>
        <v>3</v>
      </c>
      <c r="G7" s="19">
        <f>SUM(C7,D7,E7)</f>
        <v>5</v>
      </c>
      <c r="H7" s="8">
        <f>COUNTIF('Самопроверка по школам'!$D$2:$D$259,"Богушевская СШ")</f>
        <v>34</v>
      </c>
      <c r="I7" s="47">
        <f t="shared" si="1"/>
        <v>0.14705882352941177</v>
      </c>
    </row>
    <row r="8" spans="1:9" ht="15.75" x14ac:dyDescent="0.25">
      <c r="A8" s="6">
        <v>4</v>
      </c>
      <c r="B8" s="10" t="s">
        <v>15</v>
      </c>
      <c r="C8" s="6">
        <f>COUNTIFS('Самопроверка по школам'!J2:J259,"I",'Самопроверка по школам'!D2:D259,"Белицкая ДССШ")</f>
        <v>1</v>
      </c>
      <c r="D8" s="6">
        <f>COUNTIFS('Самопроверка по школам'!$J$2:$J$259,"II",'Самопроверка по школам'!$D$2:$D$259,"Белицкая ДССШ")</f>
        <v>0</v>
      </c>
      <c r="E8" s="6">
        <f>COUNTIFS('Самопроверка по школам'!$J$2:$J$259,"III",'Самопроверка по школам'!$D$2:$D$259,"Белицкая ДССШ")</f>
        <v>0</v>
      </c>
      <c r="F8" s="6">
        <f>COUNTIFS('Самопроверка по школам'!$J$2:$J$259,"п.л.",'Самопроверка по школам'!$D$2:$D$259,"Белицкая ДССШ")</f>
        <v>3</v>
      </c>
      <c r="G8" s="19">
        <f>SUM(C8,D8,E8)</f>
        <v>1</v>
      </c>
      <c r="H8" s="8">
        <f>COUNTIF('Самопроверка по школам'!$D$2:$D$259,"Белицкая ДССШ")</f>
        <v>16</v>
      </c>
      <c r="I8" s="47">
        <f t="shared" si="1"/>
        <v>6.25E-2</v>
      </c>
    </row>
    <row r="9" spans="1:9" ht="15.75" hidden="1" x14ac:dyDescent="0.25">
      <c r="A9" s="6">
        <v>6</v>
      </c>
      <c r="B9" s="9"/>
      <c r="C9" s="6"/>
      <c r="D9" s="6"/>
      <c r="E9" s="6"/>
      <c r="F9" s="6"/>
      <c r="G9" s="19"/>
      <c r="H9" s="8"/>
      <c r="I9" s="47"/>
    </row>
    <row r="10" spans="1:9" ht="15.75" x14ac:dyDescent="0.25">
      <c r="A10" s="6">
        <v>5</v>
      </c>
      <c r="B10" s="9" t="s">
        <v>16</v>
      </c>
      <c r="C10" s="6">
        <f>COUNTIFS('Самопроверка по школам'!J3:J75,"I",'Самопроверка по школам'!D3:D75,"Коковчинская ДССШ")</f>
        <v>0</v>
      </c>
      <c r="D10" s="6">
        <f>COUNTIFS('Самопроверка по школам'!$J$2:$J$259,"II",'Самопроверка по школам'!$D$2:$D$259,"Коковчинская ДССШ")</f>
        <v>0</v>
      </c>
      <c r="E10" s="6">
        <f>COUNTIFS('Самопроверка по школам'!$J$2:$J$259,"III",'Самопроверка по школам'!$D$2:$D$259,"Коковчинская ДССШ")</f>
        <v>2</v>
      </c>
      <c r="F10" s="6">
        <f>COUNTIFS('Самопроверка по школам'!$J$2:$J$259,"п.л.",'Самопроверка по школам'!$D$2:$D$259,"Коковчинская ДССШ")</f>
        <v>0</v>
      </c>
      <c r="G10" s="19">
        <f t="shared" si="0"/>
        <v>2</v>
      </c>
      <c r="H10" s="8">
        <f>COUNTIF('Самопроверка по школам'!$D$2:$D$259,"Коковчинская ДССШ")</f>
        <v>5</v>
      </c>
      <c r="I10" s="47">
        <f t="shared" si="1"/>
        <v>0.4</v>
      </c>
    </row>
    <row r="11" spans="1:9" ht="15.75" x14ac:dyDescent="0.25">
      <c r="A11" s="6">
        <v>6</v>
      </c>
      <c r="B11" s="9" t="s">
        <v>14</v>
      </c>
      <c r="C11" s="11">
        <f>COUNTIFS('Самопроверка по школам'!J2:J259,"I",'Самопроверка по школам'!D2:D259,"Мошканская ДССШ")</f>
        <v>0</v>
      </c>
      <c r="D11" s="11">
        <f>COUNTIFS('Самопроверка по школам'!$J$2:$J$259,"II",'Самопроверка по школам'!$D$2:$D$259,"Мошканская ДССШ")</f>
        <v>1</v>
      </c>
      <c r="E11" s="11">
        <f>COUNTIFS('Самопроверка по школам'!$J$2:$J$259,"III",'Самопроверка по школам'!$D$2:$D$259,"Мошканская ДССШ")</f>
        <v>2</v>
      </c>
      <c r="F11" s="6">
        <f>COUNTIFS('Самопроверка по школам'!$J$2:$J$259,"п.л.",'Самопроверка по школам'!$D$2:$D$259,"Мошканская ДССШ")</f>
        <v>8</v>
      </c>
      <c r="G11" s="19">
        <f t="shared" ref="G11:G16" si="2">SUM(C11,D11,E11)</f>
        <v>3</v>
      </c>
      <c r="H11" s="8">
        <f>COUNTIF('Самопроверка по школам'!$D$2:$D$259,"Мошканская ДССШ")</f>
        <v>37</v>
      </c>
      <c r="I11" s="47">
        <f t="shared" si="1"/>
        <v>8.1081081081081086E-2</v>
      </c>
    </row>
    <row r="12" spans="1:9" ht="15.75" hidden="1" x14ac:dyDescent="0.25">
      <c r="A12" s="6">
        <v>9</v>
      </c>
      <c r="B12" s="9"/>
      <c r="C12" s="6"/>
      <c r="D12" s="6"/>
      <c r="E12" s="6"/>
      <c r="F12" s="6"/>
      <c r="G12" s="19"/>
      <c r="H12" s="8"/>
      <c r="I12" s="47"/>
    </row>
    <row r="13" spans="1:9" ht="15.75" x14ac:dyDescent="0.25">
      <c r="A13" s="6">
        <v>7</v>
      </c>
      <c r="B13" s="9" t="s">
        <v>12</v>
      </c>
      <c r="C13" s="6">
        <f>COUNTIFS('Самопроверка по школам'!J2:J259,"I",'Самопроверка по школам'!D2:D259,"Студёнковская ДССШ")</f>
        <v>0</v>
      </c>
      <c r="D13" s="6">
        <f>COUNTIFS('Самопроверка по школам'!$J$2:$J$259,"II",'Самопроверка по школам'!$D$2:$D$259,"Студёнковская ДССШ")</f>
        <v>1</v>
      </c>
      <c r="E13" s="6">
        <f>COUNTIFS('Самопроверка по школам'!$J$2:$J$259,"III",'Самопроверка по школам'!$D$2:$D$259,"Студёнковская ДССШ")</f>
        <v>3</v>
      </c>
      <c r="F13" s="6">
        <f>COUNTIFS('Самопроверка по школам'!$J$2:$J$259,"п.л.",'Самопроверка по школам'!$D$2:$D$259,"Студёнковская ДССШ")</f>
        <v>3</v>
      </c>
      <c r="G13" s="19">
        <f t="shared" si="2"/>
        <v>4</v>
      </c>
      <c r="H13" s="8">
        <f>COUNTIF('Самопроверка по школам'!$D$2:$D$259,"Студёнковская ДССШ")</f>
        <v>14</v>
      </c>
      <c r="I13" s="47">
        <f t="shared" si="1"/>
        <v>0.2857142857142857</v>
      </c>
    </row>
    <row r="14" spans="1:9" ht="15.75" x14ac:dyDescent="0.25">
      <c r="A14" s="6">
        <v>8</v>
      </c>
      <c r="B14" s="12" t="s">
        <v>147</v>
      </c>
      <c r="C14" s="6">
        <f>COUNTIFS('Самопроверка по школам'!J2:J259,"I",'Самопроверка по школам'!D2:D259,"Ходцевская ДССШ")</f>
        <v>1</v>
      </c>
      <c r="D14" s="6">
        <f>COUNTIFS('Самопроверка по школам'!$J$2:$J$259,"II",'Самопроверка по школам'!$D$2:$D$259,"Ходцевская ДССШ")</f>
        <v>0</v>
      </c>
      <c r="E14" s="6">
        <f>COUNTIFS('Самопроверка по школам'!$J$2:$J$259,"III",'Самопроверка по школам'!$D$2:$D$259,"Ходцевская ДССШ")</f>
        <v>1</v>
      </c>
      <c r="F14" s="6">
        <f>COUNTIFS('Самопроверка по школам'!$J$2:$J$259,"п.л.",'Самопроверка по школам'!$D$2:$D$259,"Ходцевская ДССШ")</f>
        <v>1</v>
      </c>
      <c r="G14" s="19">
        <f t="shared" si="2"/>
        <v>2</v>
      </c>
      <c r="H14" s="8">
        <f>COUNTIF('Самопроверка по школам'!$D$2:$D$259,"Ходцевская ДССШ")</f>
        <v>4</v>
      </c>
      <c r="I14" s="47">
        <f t="shared" si="1"/>
        <v>0.5</v>
      </c>
    </row>
    <row r="15" spans="1:9" ht="15.75" x14ac:dyDescent="0.25">
      <c r="A15" s="6">
        <v>9</v>
      </c>
      <c r="B15" s="9" t="s">
        <v>118</v>
      </c>
      <c r="C15" s="6">
        <f>COUNTIFS('Самопроверка по школам'!J2:J259,"I",'Самопроверка по школам'!D2:D259,"Яновскаяя ДСБШ")</f>
        <v>0</v>
      </c>
      <c r="D15" s="6">
        <f>COUNTIFS('Самопроверка по школам'!$J$2:$J$259,"II",'Самопроверка по школам'!$D$2:$D$259,"Яновскаяя ДСБШ")</f>
        <v>0</v>
      </c>
      <c r="E15" s="6">
        <f>COUNTIFS('Самопроверка по школам'!$J$2:$J$259,"III",'Самопроверка по школам'!$D$2:$D$259,"Яновскаяя ДСБШ")</f>
        <v>0</v>
      </c>
      <c r="F15" s="6">
        <f>COUNTIFS('Самопроверка по школам'!$J$2:$J$259,"п.л.",'Самопроверка по школам'!$D$2:$D$259,"Яновская ДСБШ")</f>
        <v>3</v>
      </c>
      <c r="G15" s="19">
        <f t="shared" si="2"/>
        <v>0</v>
      </c>
      <c r="H15" s="8">
        <f>COUNTIF('Самопроверка по школам'!$D$2:$D$259,"Яновская ДСБШ")</f>
        <v>6</v>
      </c>
      <c r="I15" s="47">
        <f t="shared" si="1"/>
        <v>0</v>
      </c>
    </row>
    <row r="16" spans="1:9" ht="15.75" x14ac:dyDescent="0.25">
      <c r="A16" s="6">
        <v>10</v>
      </c>
      <c r="B16" s="9" t="s">
        <v>20</v>
      </c>
      <c r="C16" s="6">
        <f>COUNTIFS('Самопроверка по школам'!J2:J259,"I",'Самопроверка по школам'!D2:D259,"Сенненская школа-интернат")</f>
        <v>0</v>
      </c>
      <c r="D16" s="6">
        <f>COUNTIFS('Самопроверка по школам'!$J$2:$J$259,"II",'Самопроверка по школам'!$D$2:$D$259,"Сенненская школа-интернат")</f>
        <v>1</v>
      </c>
      <c r="E16" s="6">
        <f>COUNTIFS('Самопроверка по школам'!$J$2:$J$259,"III",'Самопроверка по школам'!$D$2:$D$259,"Сенненская школа-интернат")</f>
        <v>2</v>
      </c>
      <c r="F16" s="6">
        <f>COUNTIFS('Самопроверка по школам'!$J$2:$J$259,"п.л.",'Самопроверка по школам'!$D$2:$D$259,"Сенненская школа-интернат")</f>
        <v>6</v>
      </c>
      <c r="G16" s="19">
        <f t="shared" si="2"/>
        <v>3</v>
      </c>
      <c r="H16" s="8">
        <f>COUNTIF('Самопроверка по школам'!$D$2:$D$259,"Сенненская школа-интернат")</f>
        <v>13</v>
      </c>
      <c r="I16" s="47">
        <f t="shared" si="1"/>
        <v>0.23076923076923078</v>
      </c>
    </row>
    <row r="17" spans="1:9" ht="15.75" x14ac:dyDescent="0.25">
      <c r="A17" s="6"/>
      <c r="B17" s="7"/>
      <c r="C17" s="6"/>
      <c r="D17" s="6"/>
      <c r="E17" s="6"/>
      <c r="F17" s="6"/>
      <c r="G17" s="19"/>
      <c r="H17" s="8"/>
      <c r="I17" s="45"/>
    </row>
    <row r="18" spans="1:9" ht="15.75" x14ac:dyDescent="0.25">
      <c r="A18" s="6"/>
      <c r="B18" s="9"/>
      <c r="C18" s="6"/>
      <c r="D18" s="6"/>
      <c r="E18" s="6"/>
      <c r="F18" s="6"/>
      <c r="G18" s="19"/>
      <c r="H18" s="8"/>
      <c r="I18" s="45"/>
    </row>
    <row r="19" spans="1:9" ht="15.75" x14ac:dyDescent="0.25">
      <c r="A19" s="6"/>
      <c r="B19" s="9"/>
      <c r="C19" s="6"/>
      <c r="D19" s="6"/>
      <c r="E19" s="6"/>
      <c r="F19" s="6"/>
      <c r="G19" s="19"/>
      <c r="H19" s="8"/>
      <c r="I19" s="45"/>
    </row>
    <row r="20" spans="1:9" ht="15.75" x14ac:dyDescent="0.25">
      <c r="A20" s="20"/>
      <c r="B20" s="21" t="s">
        <v>29</v>
      </c>
      <c r="C20" s="66">
        <f>SUM(C4:C19)</f>
        <v>8</v>
      </c>
      <c r="D20" s="66">
        <f>SUM(D4:D19)</f>
        <v>15</v>
      </c>
      <c r="E20" s="66">
        <f t="shared" ref="E20" si="3">SUM(E4:E19)</f>
        <v>31</v>
      </c>
      <c r="F20" s="64">
        <f>SUM(F4:F19)</f>
        <v>53</v>
      </c>
      <c r="G20" s="62">
        <f>SUM(G4:G19)</f>
        <v>54</v>
      </c>
      <c r="H20" s="63">
        <f>SUM(H4:H19)</f>
        <v>251</v>
      </c>
      <c r="I20" s="47">
        <f t="shared" si="1"/>
        <v>0.2151394422310757</v>
      </c>
    </row>
    <row r="30" spans="1:9" x14ac:dyDescent="0.25">
      <c r="C30" s="5">
        <f>22+27+14+17+28/4+20+8+21</f>
        <v>136</v>
      </c>
    </row>
  </sheetData>
  <mergeCells count="8">
    <mergeCell ref="H1:H3"/>
    <mergeCell ref="I1:I3"/>
    <mergeCell ref="G1:G3"/>
    <mergeCell ref="A1:F1"/>
    <mergeCell ref="C2:E2"/>
    <mergeCell ref="A2:A3"/>
    <mergeCell ref="B2:B3"/>
    <mergeCell ref="F2:F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A2" workbookViewId="0">
      <selection activeCell="A5" sqref="A5"/>
    </sheetView>
  </sheetViews>
  <sheetFormatPr defaultRowHeight="15" x14ac:dyDescent="0.25"/>
  <cols>
    <col min="1" max="1" width="23.140625" customWidth="1"/>
    <col min="2" max="2" width="6.28515625" customWidth="1"/>
    <col min="3" max="3" width="7.7109375" customWidth="1"/>
    <col min="4" max="4" width="10.140625" customWidth="1"/>
    <col min="5" max="5" width="4.5703125" customWidth="1"/>
    <col min="6" max="6" width="3.7109375" customWidth="1"/>
    <col min="7" max="8" width="5.28515625" customWidth="1"/>
    <col min="9" max="9" width="3.140625" customWidth="1"/>
    <col min="10" max="10" width="3.85546875" customWidth="1"/>
    <col min="11" max="11" width="3.7109375" customWidth="1"/>
    <col min="12" max="12" width="4.28515625" customWidth="1"/>
    <col min="13" max="13" width="5" customWidth="1"/>
    <col min="14" max="14" width="4.42578125" customWidth="1"/>
    <col min="15" max="15" width="4.7109375" customWidth="1"/>
    <col min="16" max="16" width="3.7109375" customWidth="1"/>
    <col min="17" max="17" width="4.7109375" customWidth="1"/>
    <col min="18" max="18" width="4.28515625" customWidth="1"/>
    <col min="19" max="19" width="4.140625" customWidth="1"/>
    <col min="20" max="20" width="4.42578125" customWidth="1"/>
    <col min="21" max="21" width="4.140625" customWidth="1"/>
    <col min="22" max="22" width="5.140625" customWidth="1"/>
    <col min="23" max="23" width="5.28515625" customWidth="1"/>
  </cols>
  <sheetData>
    <row r="1" spans="1:24" ht="39" customHeight="1" x14ac:dyDescent="0.25">
      <c r="A1" s="183" t="s">
        <v>397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</row>
    <row r="2" spans="1:24" ht="36.75" customHeight="1" x14ac:dyDescent="0.25">
      <c r="A2" s="185" t="s">
        <v>401</v>
      </c>
      <c r="B2" s="188" t="s">
        <v>43</v>
      </c>
      <c r="C2" s="191" t="s">
        <v>30</v>
      </c>
      <c r="D2" s="194" t="s">
        <v>44</v>
      </c>
      <c r="E2" s="197" t="s">
        <v>121</v>
      </c>
      <c r="F2" s="198"/>
      <c r="G2" s="198"/>
      <c r="H2" s="199"/>
      <c r="I2" s="200" t="s">
        <v>45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2"/>
      <c r="W2" s="89"/>
    </row>
    <row r="3" spans="1:24" ht="57" customHeight="1" x14ac:dyDescent="0.25">
      <c r="A3" s="186"/>
      <c r="B3" s="189"/>
      <c r="C3" s="192"/>
      <c r="D3" s="195"/>
      <c r="E3" s="203" t="s">
        <v>122</v>
      </c>
      <c r="F3" s="205" t="s">
        <v>19</v>
      </c>
      <c r="G3" s="205" t="s">
        <v>17</v>
      </c>
      <c r="H3" s="205" t="s">
        <v>18</v>
      </c>
      <c r="I3" s="207" t="s">
        <v>31</v>
      </c>
      <c r="J3" s="209" t="s">
        <v>32</v>
      </c>
      <c r="K3" s="181" t="s">
        <v>33</v>
      </c>
      <c r="L3" s="211" t="s">
        <v>34</v>
      </c>
      <c r="M3" s="177" t="s">
        <v>35</v>
      </c>
      <c r="N3" s="171" t="s">
        <v>36</v>
      </c>
      <c r="O3" s="173" t="s">
        <v>37</v>
      </c>
      <c r="P3" s="175" t="s">
        <v>38</v>
      </c>
      <c r="Q3" s="177" t="s">
        <v>39</v>
      </c>
      <c r="R3" s="179" t="s">
        <v>46</v>
      </c>
      <c r="S3" s="181" t="s">
        <v>47</v>
      </c>
      <c r="T3" s="165" t="s">
        <v>48</v>
      </c>
      <c r="U3" s="167" t="s">
        <v>49</v>
      </c>
      <c r="V3" s="169" t="s">
        <v>50</v>
      </c>
      <c r="W3" s="164" t="s">
        <v>249</v>
      </c>
    </row>
    <row r="4" spans="1:24" ht="15" customHeight="1" x14ac:dyDescent="0.25">
      <c r="A4" s="187"/>
      <c r="B4" s="190"/>
      <c r="C4" s="193"/>
      <c r="D4" s="196"/>
      <c r="E4" s="204"/>
      <c r="F4" s="206"/>
      <c r="G4" s="206"/>
      <c r="H4" s="206"/>
      <c r="I4" s="208"/>
      <c r="J4" s="210"/>
      <c r="K4" s="182"/>
      <c r="L4" s="212"/>
      <c r="M4" s="178"/>
      <c r="N4" s="172"/>
      <c r="O4" s="174"/>
      <c r="P4" s="176"/>
      <c r="Q4" s="178"/>
      <c r="R4" s="180"/>
      <c r="S4" s="182"/>
      <c r="T4" s="166"/>
      <c r="U4" s="168"/>
      <c r="V4" s="170"/>
      <c r="W4" s="164"/>
    </row>
    <row r="5" spans="1:24" ht="18.75" x14ac:dyDescent="0.25">
      <c r="A5" s="14" t="s">
        <v>13</v>
      </c>
      <c r="B5" s="99">
        <v>135</v>
      </c>
      <c r="C5" s="8">
        <f>COUNTIF('Самопроверка по школам'!$D$2:$D$259,"СШ №1 г.Сенно")</f>
        <v>58</v>
      </c>
      <c r="D5" s="45">
        <f>E5/C5</f>
        <v>0.22413793103448276</v>
      </c>
      <c r="E5" s="15">
        <f>SUM(F5:H5)</f>
        <v>13</v>
      </c>
      <c r="F5" s="16"/>
      <c r="G5" s="16">
        <f>1+1</f>
        <v>2</v>
      </c>
      <c r="H5" s="16">
        <f>1+1+2+1+1+5</f>
        <v>11</v>
      </c>
      <c r="I5" s="17">
        <v>5</v>
      </c>
      <c r="J5" s="17">
        <v>2</v>
      </c>
      <c r="K5" s="17">
        <v>1</v>
      </c>
      <c r="L5" s="17"/>
      <c r="M5" s="17"/>
      <c r="N5" s="17"/>
      <c r="O5" s="17"/>
      <c r="P5" s="17">
        <v>1</v>
      </c>
      <c r="Q5" s="17">
        <f>1+1</f>
        <v>2</v>
      </c>
      <c r="R5" s="17">
        <v>1</v>
      </c>
      <c r="S5" s="17"/>
      <c r="T5" s="17"/>
      <c r="U5" s="17"/>
      <c r="V5" s="17"/>
      <c r="W5" s="17">
        <v>1</v>
      </c>
      <c r="X5" s="2"/>
    </row>
    <row r="6" spans="1:24" ht="18.75" x14ac:dyDescent="0.25">
      <c r="A6" s="14" t="s">
        <v>10</v>
      </c>
      <c r="B6" s="99">
        <v>149</v>
      </c>
      <c r="C6" s="8">
        <f>COUNTIF('Самопроверка по школам'!$D$2:$D$259,"СШ №2г.Сенно")</f>
        <v>64</v>
      </c>
      <c r="D6" s="45">
        <f t="shared" ref="D6:D21" si="0">E6/C6</f>
        <v>0.328125</v>
      </c>
      <c r="E6" s="15">
        <f t="shared" ref="E6:E21" si="1">SUM(F6:H6)</f>
        <v>21</v>
      </c>
      <c r="F6" s="16">
        <v>5</v>
      </c>
      <c r="G6" s="16">
        <v>8</v>
      </c>
      <c r="H6" s="16">
        <f>1+1+2+1+1+1+1</f>
        <v>8</v>
      </c>
      <c r="I6" s="17"/>
      <c r="J6" s="17">
        <v>2</v>
      </c>
      <c r="K6" s="17">
        <v>1</v>
      </c>
      <c r="L6" s="17"/>
      <c r="M6" s="17">
        <v>1</v>
      </c>
      <c r="N6" s="17">
        <v>2</v>
      </c>
      <c r="O6" s="17"/>
      <c r="P6" s="17">
        <v>1</v>
      </c>
      <c r="Q6" s="17">
        <v>1</v>
      </c>
      <c r="R6" s="17">
        <v>2</v>
      </c>
      <c r="S6" s="17">
        <v>1</v>
      </c>
      <c r="T6" s="17"/>
      <c r="U6" s="17"/>
      <c r="V6" s="17">
        <f>2+2+1+1+2+1</f>
        <v>9</v>
      </c>
      <c r="W6" s="17">
        <v>1</v>
      </c>
      <c r="X6" s="2"/>
    </row>
    <row r="7" spans="1:24" ht="18.75" hidden="1" x14ac:dyDescent="0.25">
      <c r="A7" s="14"/>
      <c r="B7" s="99"/>
      <c r="C7" s="8"/>
      <c r="D7" s="45"/>
      <c r="E7" s="15"/>
      <c r="F7" s="16"/>
      <c r="G7" s="16"/>
      <c r="H7" s="16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2"/>
    </row>
    <row r="8" spans="1:24" ht="18.75" x14ac:dyDescent="0.25">
      <c r="A8" s="14" t="s">
        <v>252</v>
      </c>
      <c r="B8" s="99">
        <v>129</v>
      </c>
      <c r="C8" s="8">
        <f>COUNTIF('Самопроверка по школам'!$D$2:$D$259,"Богушевская СШ")</f>
        <v>34</v>
      </c>
      <c r="D8" s="45">
        <f t="shared" si="0"/>
        <v>0.14705882352941177</v>
      </c>
      <c r="E8" s="15">
        <f t="shared" si="1"/>
        <v>5</v>
      </c>
      <c r="F8" s="16">
        <f>1</f>
        <v>1</v>
      </c>
      <c r="G8" s="16">
        <f>1+1</f>
        <v>2</v>
      </c>
      <c r="H8" s="16">
        <f>2</f>
        <v>2</v>
      </c>
      <c r="I8" s="17"/>
      <c r="J8" s="17">
        <v>3</v>
      </c>
      <c r="K8" s="17"/>
      <c r="L8" s="17">
        <v>1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>
        <v>1</v>
      </c>
      <c r="X8" s="2"/>
    </row>
    <row r="9" spans="1:24" ht="18.75" x14ac:dyDescent="0.25">
      <c r="A9" s="14" t="s">
        <v>15</v>
      </c>
      <c r="B9" s="99">
        <v>24</v>
      </c>
      <c r="C9" s="8">
        <f>COUNTIF('Самопроверка по школам'!$D$2:$D$259,"Белицкая ДССШ")</f>
        <v>16</v>
      </c>
      <c r="D9" s="45">
        <f t="shared" si="0"/>
        <v>6.25E-2</v>
      </c>
      <c r="E9" s="15">
        <f t="shared" si="1"/>
        <v>1</v>
      </c>
      <c r="F9" s="16">
        <v>1</v>
      </c>
      <c r="G9" s="16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>
        <v>1</v>
      </c>
      <c r="X9" s="2"/>
    </row>
    <row r="10" spans="1:24" ht="18.75" hidden="1" x14ac:dyDescent="0.25">
      <c r="A10" s="14"/>
      <c r="B10" s="99"/>
      <c r="C10" s="8"/>
      <c r="D10" s="45"/>
      <c r="E10" s="15"/>
      <c r="F10" s="16"/>
      <c r="G10" s="16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2"/>
    </row>
    <row r="11" spans="1:24" ht="18.75" x14ac:dyDescent="0.25">
      <c r="A11" s="14" t="s">
        <v>16</v>
      </c>
      <c r="B11" s="99">
        <v>19</v>
      </c>
      <c r="C11" s="8">
        <f>COUNTIF('Самопроверка по школам'!$D$2:$D$259,"Коковчинская ДССШ")</f>
        <v>5</v>
      </c>
      <c r="D11" s="45">
        <f t="shared" si="0"/>
        <v>0.4</v>
      </c>
      <c r="E11" s="15">
        <f t="shared" si="1"/>
        <v>2</v>
      </c>
      <c r="F11" s="16"/>
      <c r="G11" s="16"/>
      <c r="H11" s="16">
        <v>2</v>
      </c>
      <c r="I11" s="17">
        <v>2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2"/>
    </row>
    <row r="12" spans="1:24" ht="18.75" x14ac:dyDescent="0.25">
      <c r="A12" s="14" t="s">
        <v>14</v>
      </c>
      <c r="B12" s="99">
        <v>66</v>
      </c>
      <c r="C12" s="8">
        <f>COUNTIF('Самопроверка по школам'!$D$2:$D$259,"Мошканская ДССШ")</f>
        <v>37</v>
      </c>
      <c r="D12" s="45">
        <f t="shared" si="0"/>
        <v>8.1081081081081086E-2</v>
      </c>
      <c r="E12" s="15">
        <f t="shared" si="1"/>
        <v>3</v>
      </c>
      <c r="F12" s="16"/>
      <c r="G12" s="16">
        <f>1</f>
        <v>1</v>
      </c>
      <c r="H12" s="16">
        <f>1+1</f>
        <v>2</v>
      </c>
      <c r="I12" s="17">
        <v>1</v>
      </c>
      <c r="J12" s="17">
        <v>1</v>
      </c>
      <c r="K12" s="17"/>
      <c r="L12" s="17"/>
      <c r="M12" s="17"/>
      <c r="N12" s="17"/>
      <c r="O12" s="17">
        <v>1</v>
      </c>
      <c r="P12" s="17"/>
      <c r="Q12" s="17"/>
      <c r="R12" s="17"/>
      <c r="S12" s="17"/>
      <c r="T12" s="17"/>
      <c r="U12" s="17"/>
      <c r="V12" s="17"/>
      <c r="W12" s="17"/>
      <c r="X12" s="2"/>
    </row>
    <row r="13" spans="1:24" ht="18.75" hidden="1" x14ac:dyDescent="0.25">
      <c r="A13" s="14" t="s">
        <v>40</v>
      </c>
      <c r="B13" s="99"/>
      <c r="C13" s="8"/>
      <c r="D13" s="45"/>
      <c r="E13" s="15"/>
      <c r="F13" s="16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2"/>
    </row>
    <row r="14" spans="1:24" ht="18.75" x14ac:dyDescent="0.25">
      <c r="A14" s="14" t="s">
        <v>41</v>
      </c>
      <c r="B14" s="99">
        <v>37</v>
      </c>
      <c r="C14" s="8">
        <f>COUNTIF('Самопроверка по школам'!$D$2:$D$259,"Студёнковская ДССШ")</f>
        <v>14</v>
      </c>
      <c r="D14" s="45">
        <f t="shared" si="0"/>
        <v>0.2857142857142857</v>
      </c>
      <c r="E14" s="15">
        <f t="shared" si="1"/>
        <v>4</v>
      </c>
      <c r="F14" s="16"/>
      <c r="G14" s="16">
        <v>1</v>
      </c>
      <c r="H14" s="16">
        <f>1+1+1</f>
        <v>3</v>
      </c>
      <c r="I14" s="17">
        <v>1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>
        <f>1+1+1</f>
        <v>3</v>
      </c>
      <c r="W14" s="17"/>
      <c r="X14" s="2"/>
    </row>
    <row r="15" spans="1:24" ht="18.75" x14ac:dyDescent="0.25">
      <c r="A15" s="14" t="s">
        <v>147</v>
      </c>
      <c r="B15" s="99">
        <v>22</v>
      </c>
      <c r="C15" s="8">
        <f>COUNTIF('Самопроверка по школам'!$D$2:$D$259,"Ходцевская ДССШ")</f>
        <v>4</v>
      </c>
      <c r="D15" s="45">
        <v>0</v>
      </c>
      <c r="E15" s="15">
        <f t="shared" si="1"/>
        <v>2</v>
      </c>
      <c r="F15" s="16">
        <v>1</v>
      </c>
      <c r="G15" s="16"/>
      <c r="H15" s="16">
        <v>1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2</v>
      </c>
      <c r="X15" s="2"/>
    </row>
    <row r="16" spans="1:24" ht="18.75" x14ac:dyDescent="0.25">
      <c r="A16" s="14" t="s">
        <v>118</v>
      </c>
      <c r="B16" s="99">
        <v>14</v>
      </c>
      <c r="C16" s="8">
        <f>COUNTIF('Самопроверка по школам'!$D$2:$D$259,"Яновская ДСБШ")</f>
        <v>6</v>
      </c>
      <c r="D16" s="45">
        <f t="shared" si="0"/>
        <v>0</v>
      </c>
      <c r="E16" s="15">
        <f t="shared" si="1"/>
        <v>0</v>
      </c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2"/>
    </row>
    <row r="17" spans="1:24" ht="31.5" x14ac:dyDescent="0.25">
      <c r="A17" s="14" t="s">
        <v>20</v>
      </c>
      <c r="B17" s="99">
        <v>63</v>
      </c>
      <c r="C17" s="8">
        <f>COUNTIF('Самопроверка по школам'!$D$2:$D$259,"Сенненская школа-интернат")</f>
        <v>13</v>
      </c>
      <c r="D17" s="45">
        <f t="shared" si="0"/>
        <v>0.23076923076923078</v>
      </c>
      <c r="E17" s="15">
        <f t="shared" si="1"/>
        <v>3</v>
      </c>
      <c r="F17" s="16"/>
      <c r="G17" s="16">
        <v>1</v>
      </c>
      <c r="H17" s="16">
        <f>1+1</f>
        <v>2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>
        <f>1+1+1</f>
        <v>3</v>
      </c>
      <c r="W17" s="17"/>
      <c r="X17" s="2"/>
    </row>
    <row r="18" spans="1:24" ht="33.75" hidden="1" customHeight="1" x14ac:dyDescent="0.25">
      <c r="A18" s="14"/>
      <c r="B18" s="14"/>
      <c r="C18" s="8"/>
      <c r="D18" s="45"/>
      <c r="E18" s="15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"/>
      <c r="X18" s="2"/>
    </row>
    <row r="19" spans="1:24" ht="18.75" hidden="1" x14ac:dyDescent="0.25">
      <c r="A19" s="14"/>
      <c r="B19" s="14"/>
      <c r="C19" s="8"/>
      <c r="D19" s="45"/>
      <c r="E19" s="15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"/>
      <c r="X19" s="2"/>
    </row>
    <row r="20" spans="1:24" ht="18.75" hidden="1" x14ac:dyDescent="0.25">
      <c r="A20" s="14"/>
      <c r="B20" s="14"/>
      <c r="C20" s="8"/>
      <c r="D20" s="45"/>
      <c r="E20" s="15"/>
      <c r="F20" s="16"/>
      <c r="G20" s="16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"/>
      <c r="X20" s="2"/>
    </row>
    <row r="21" spans="1:24" ht="20.25" x14ac:dyDescent="0.25">
      <c r="A21" s="22" t="s">
        <v>42</v>
      </c>
      <c r="B21" s="23">
        <f t="shared" ref="B21:C21" si="2">SUM(B5:B17)</f>
        <v>658</v>
      </c>
      <c r="C21" s="57">
        <f t="shared" si="2"/>
        <v>251</v>
      </c>
      <c r="D21" s="74">
        <f t="shared" si="0"/>
        <v>0.2151394422310757</v>
      </c>
      <c r="E21" s="15">
        <f t="shared" si="1"/>
        <v>54</v>
      </c>
      <c r="F21" s="23">
        <f>SUM(F5:F17)</f>
        <v>8</v>
      </c>
      <c r="G21" s="23">
        <f t="shared" ref="G21:W21" si="3">SUM(G5:G17)</f>
        <v>15</v>
      </c>
      <c r="H21" s="23">
        <f t="shared" si="3"/>
        <v>31</v>
      </c>
      <c r="I21" s="69">
        <f t="shared" si="3"/>
        <v>9</v>
      </c>
      <c r="J21" s="70">
        <f t="shared" si="3"/>
        <v>8</v>
      </c>
      <c r="K21" s="71">
        <f t="shared" si="3"/>
        <v>2</v>
      </c>
      <c r="L21" s="68">
        <f t="shared" si="3"/>
        <v>1</v>
      </c>
      <c r="M21" s="59">
        <f t="shared" si="3"/>
        <v>1</v>
      </c>
      <c r="N21" s="58">
        <f t="shared" si="3"/>
        <v>2</v>
      </c>
      <c r="O21" s="69">
        <f t="shared" si="3"/>
        <v>1</v>
      </c>
      <c r="P21" s="72">
        <f t="shared" si="3"/>
        <v>2</v>
      </c>
      <c r="Q21" s="73">
        <f t="shared" si="3"/>
        <v>3</v>
      </c>
      <c r="R21" s="67">
        <f t="shared" si="3"/>
        <v>3</v>
      </c>
      <c r="S21" s="71">
        <f t="shared" si="3"/>
        <v>1</v>
      </c>
      <c r="T21" s="71">
        <f t="shared" si="3"/>
        <v>0</v>
      </c>
      <c r="U21" s="73">
        <f t="shared" si="3"/>
        <v>0</v>
      </c>
      <c r="V21" s="68">
        <f t="shared" si="3"/>
        <v>15</v>
      </c>
      <c r="W21" s="68">
        <f t="shared" si="3"/>
        <v>6</v>
      </c>
      <c r="X21" s="38"/>
    </row>
    <row r="22" spans="1:24" ht="48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4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4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4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26">
    <mergeCell ref="M3:M4"/>
    <mergeCell ref="A1:V1"/>
    <mergeCell ref="A2:A4"/>
    <mergeCell ref="B2:B4"/>
    <mergeCell ref="C2:C4"/>
    <mergeCell ref="D2:D4"/>
    <mergeCell ref="E2:H2"/>
    <mergeCell ref="I2:V2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T3:T4"/>
    <mergeCell ref="U3:U4"/>
    <mergeCell ref="V3:V4"/>
    <mergeCell ref="N3:N4"/>
    <mergeCell ref="O3:O4"/>
    <mergeCell ref="P3:P4"/>
    <mergeCell ref="Q3:Q4"/>
    <mergeCell ref="R3:R4"/>
    <mergeCell ref="S3:S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90" zoomScaleNormal="90" workbookViewId="0">
      <selection activeCell="A2" sqref="A2:A3"/>
    </sheetView>
  </sheetViews>
  <sheetFormatPr defaultRowHeight="15" x14ac:dyDescent="0.25"/>
  <cols>
    <col min="1" max="1" width="18.5703125" style="3" customWidth="1"/>
    <col min="2" max="12" width="9.7109375" style="3" customWidth="1"/>
    <col min="13" max="16384" width="9.140625" style="3"/>
  </cols>
  <sheetData>
    <row r="1" spans="1:14" ht="59.25" customHeight="1" x14ac:dyDescent="0.25">
      <c r="A1" s="214" t="s">
        <v>398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4" ht="47.25" customHeight="1" x14ac:dyDescent="0.25">
      <c r="A2" s="217" t="s">
        <v>51</v>
      </c>
      <c r="B2" s="218" t="s">
        <v>52</v>
      </c>
      <c r="C2" s="219" t="s">
        <v>53</v>
      </c>
      <c r="D2" s="220" t="s">
        <v>54</v>
      </c>
      <c r="E2" s="221" t="s">
        <v>55</v>
      </c>
      <c r="F2" s="221" t="s">
        <v>56</v>
      </c>
      <c r="G2" s="221" t="s">
        <v>57</v>
      </c>
      <c r="H2" s="213" t="s">
        <v>58</v>
      </c>
      <c r="I2" s="213" t="s">
        <v>73</v>
      </c>
      <c r="J2" s="213" t="s">
        <v>74</v>
      </c>
      <c r="K2" s="213" t="s">
        <v>75</v>
      </c>
      <c r="L2" s="213" t="s">
        <v>76</v>
      </c>
    </row>
    <row r="3" spans="1:14" ht="59.25" customHeight="1" x14ac:dyDescent="0.25">
      <c r="A3" s="217"/>
      <c r="B3" s="218"/>
      <c r="C3" s="219"/>
      <c r="D3" s="220"/>
      <c r="E3" s="221"/>
      <c r="F3" s="221"/>
      <c r="G3" s="221"/>
      <c r="H3" s="213"/>
      <c r="I3" s="213"/>
      <c r="J3" s="213"/>
      <c r="K3" s="213"/>
      <c r="L3" s="213"/>
    </row>
    <row r="4" spans="1:14" ht="30" x14ac:dyDescent="0.25">
      <c r="A4" s="18" t="s">
        <v>59</v>
      </c>
      <c r="B4" s="13">
        <f>COUNTIFS('Самопроверка по школам'!E2:E259,"Русский язык и литература")</f>
        <v>15</v>
      </c>
      <c r="C4" s="13">
        <f>'Результативность по предметам'!J21</f>
        <v>8</v>
      </c>
      <c r="D4" s="48">
        <f>C4/B4</f>
        <v>0.53333333333333333</v>
      </c>
      <c r="E4" s="13">
        <f>COUNTIFS('Самопроверка по школам'!J2:J259,"I",'Самопроверка по школам'!E2:E259,"Русский язык и литература")</f>
        <v>1</v>
      </c>
      <c r="F4" s="13">
        <f>COUNTIFS('Самопроверка по школам'!J2:J259,"II",'Самопроверка по школам'!E2:E259,"Русский язык и литература")</f>
        <v>2</v>
      </c>
      <c r="G4" s="43">
        <f>COUNTIFS('Самопроверка по школам'!J2:J259,"III",'Самопроверка по школам'!E2:E259,"Русский язык и литература")</f>
        <v>5</v>
      </c>
      <c r="H4" s="13">
        <f>COUNTIFS('Самопроверка по школам'!J2:J259,"п.л.",'Самопроверка по школам'!E2:E259,"Русский язык и литература")</f>
        <v>6</v>
      </c>
      <c r="I4" s="13">
        <f>COUNTIFS('Самопроверка по школам'!J2:J259,"I",'Самопроверка по школам'!E2:E259,"Русский язык и литература",'Самопроверка по школам'!F2:F259,8)+COUNTIFS('Самопроверка по школам'!J2:J259,"II",'Самопроверка по школам'!E2:E259,"Русский язык и литература",'Самопроверка по школам'!F2:F259,8)+COUNTIFS('Самопроверка по школам'!J2:J259,"III",'Самопроверка по школам'!E2:E259,"Русский язык и литература",'Самопроверка по школам'!F2:F259,8)</f>
        <v>0</v>
      </c>
      <c r="J4" s="13">
        <f>COUNTIFS('Самопроверка по школам'!J2:J259,"I",'Самопроверка по школам'!E2:E259,"Русский язык и литература",'Самопроверка по школам'!F2:F259,9)+COUNTIFS('Самопроверка по школам'!J2:J259,"II",'Самопроверка по школам'!E2:E259,"Русский язык и литература",'Самопроверка по школам'!F2:F259,9)+COUNTIFS('Самопроверка по школам'!J2:J259,"III",'Самопроверка по школам'!E2:E259,"Русский язык и литература",'Самопроверка по школам'!F2:F259,9)</f>
        <v>4</v>
      </c>
      <c r="K4" s="13">
        <f>COUNTIFS('Самопроверка по школам'!J2:J259,"I",'Самопроверка по школам'!E2:E259,"Русский язык и литература",'Самопроверка по школам'!F2:F259,10)+COUNTIFS('Самопроверка по школам'!J2:J259,"II",'Самопроверка по школам'!E2:E259,"Русский язык и литература",'Самопроверка по школам'!F2:F259,10)+COUNTIFS('Самопроверка по школам'!J2:J259,"III",'Самопроверка по школам'!E2:E259,"Русский язык и литература",'Самопроверка по школам'!F2:F259,10)</f>
        <v>2</v>
      </c>
      <c r="L4" s="13">
        <f>COUNTIFS('Самопроверка по школам'!J2:J259,"I",'Самопроверка по школам'!E2:E259,"Русский язык и литература",'Самопроверка по школам'!F2:F259,11)+COUNTIFS('Самопроверка по школам'!J2:J259,"II",'Самопроверка по школам'!E2:E259,"Русский язык и литература",'Самопроверка по школам'!F2:F259,11)+COUNTIFS('Самопроверка по школам'!J2:J259,"III",'Самопроверка по школам'!E2:E259,"Русский язык и литература",'Самопроверка по школам'!F2:F259,11)</f>
        <v>2</v>
      </c>
      <c r="N4" s="2"/>
    </row>
    <row r="5" spans="1:14" ht="30" x14ac:dyDescent="0.25">
      <c r="A5" s="18" t="s">
        <v>60</v>
      </c>
      <c r="B5" s="13">
        <f>COUNTIFS('Самопроверка по школам'!E2:E259,"бел.яз и лит.")</f>
        <v>24</v>
      </c>
      <c r="C5" s="13">
        <f>'Результативность по предметам'!I21</f>
        <v>9</v>
      </c>
      <c r="D5" s="48">
        <f t="shared" ref="D5:D16" si="0">C5/B5</f>
        <v>0.375</v>
      </c>
      <c r="E5" s="13">
        <f>COUNTIFS('Самопроверка по школам'!J2:J259,"I",'Самопроверка по школам'!E2:E259,"бел.яз и лит.")</f>
        <v>0</v>
      </c>
      <c r="F5" s="13">
        <f>COUNTIFS('Самопроверка по школам'!J2:J259,"II",'Самопроверка по школам'!E2:E259,"бел.яз и лит.")</f>
        <v>0</v>
      </c>
      <c r="G5" s="13">
        <f>COUNTIFS('Самопроверка по школам'!J2:J259,"III",'Самопроверка по школам'!E2:E259,"бел.яз и лит.")</f>
        <v>9</v>
      </c>
      <c r="H5" s="13">
        <f>COUNTIFS('Самопроверка по школам'!J2:J259,"п.л.",'Самопроверка по школам'!E2:E259,"бел.яз и лит.")</f>
        <v>7</v>
      </c>
      <c r="I5" s="13">
        <f>COUNTIFS('Самопроверка по школам'!J2:J259,"I",'Самопроверка по школам'!E2:E259,"бел.яз и лит.",'Самопроверка по школам'!F2:F259,8)+COUNTIFS('Самопроверка по школам'!J2:J259,"II",'Самопроверка по школам'!E2:E259,"бел.яз и лит.",'Самопроверка по школам'!F2:F259,8)+COUNTIFS('Самопроверка по школам'!J2:J259,"III",'Самопроверка по школам'!E2:E259,"бел.яз и лит.",'Самопроверка по школам'!F2:F259,8)</f>
        <v>0</v>
      </c>
      <c r="J5" s="13">
        <f>COUNTIFS('Самопроверка по школам'!J2:J259,"I",'Самопроверка по школам'!E2:E259,"бел.яз и лит.",'Самопроверка по школам'!F2:F259,9)+COUNTIFS('Самопроверка по школам'!J2:J259,"II",'Самопроверка по школам'!E2:E259,"бел.яз и лит.",'Самопроверка по школам'!F2:F259,9)+COUNTIFS('Самопроверка по школам'!J2:J259,"III",'Самопроверка по школам'!E2:E259,"бел.яз и лит.",'Самопроверка по школам'!F2:F259,9)</f>
        <v>2</v>
      </c>
      <c r="K5" s="13">
        <f>COUNTIFS('Самопроверка по школам'!J2:J259,"I",'Самопроверка по школам'!E2:E259,"бел.яз и лит.",'Самопроверка по школам'!F2:F259,10)+COUNTIFS('Самопроверка по школам'!J2:J259,"II",'Самопроверка по школам'!E2:E259,"бел.яз и лит.",'Самопроверка по школам'!F2:F259,10)+COUNTIFS('Самопроверка по школам'!J2:J259,"III",'Самопроверка по школам'!E2:E259,"бел.яз и лит.",'Самопроверка по школам'!F2:F259,10)</f>
        <v>6</v>
      </c>
      <c r="L5" s="13">
        <f>COUNTIFS('Самопроверка по школам'!J2:J259,"I",'Самопроверка по школам'!E2:E259,"бел.яз и лит.",'Самопроверка по школам'!F2:F259,11)+COUNTIFS('Самопроверка по школам'!J2:J259,"II",'Самопроверка по школам'!E2:E259,"бел.яз и лит.",'Самопроверка по школам'!F2:F259,11)+COUNTIFS('Самопроверка по школам'!J2:J259,"III",'Самопроверка по школам'!E2:E259,"бел.яз и лит.",'Самопроверка по школам'!F2:F259,11)</f>
        <v>1</v>
      </c>
      <c r="M5" s="2"/>
      <c r="N5" s="2"/>
    </row>
    <row r="6" spans="1:14" ht="30" x14ac:dyDescent="0.25">
      <c r="A6" s="18" t="s">
        <v>61</v>
      </c>
      <c r="B6" s="13">
        <f>COUNTIFS('Самопроверка по школам'!E2:E259,"Английский язык")+COUNTIFS('Самопроверка по школам'!E2:E259,"нем.яз.")</f>
        <v>10</v>
      </c>
      <c r="C6" s="13">
        <f>'Результативность по предметам'!K21+'Результативность по предметам'!L21</f>
        <v>3</v>
      </c>
      <c r="D6" s="48">
        <f t="shared" si="0"/>
        <v>0.3</v>
      </c>
      <c r="E6" s="13">
        <f>COUNTIFS('Самопроверка по школам'!J2:J259,"I",'Самопроверка по школам'!E2:E259,"Английский язык")+COUNTIFS('Самопроверка по школам'!J2:J259,"I",'Самопроверка по школам'!E2:E259,"нем.яз.")</f>
        <v>0</v>
      </c>
      <c r="F6" s="13">
        <f>COUNTIFS('Самопроверка по школам'!J2:J259,"II",'Самопроверка по школам'!E2:E259,"Английский язык")+COUNTIFS('Самопроверка по школам'!J2:J259,"II",'Самопроверка по школам'!E2:E259,"нем.яз.")</f>
        <v>3</v>
      </c>
      <c r="G6" s="13">
        <f>COUNTIFS('Самопроверка по школам'!J2:J259,"III",'Самопроверка по школам'!E2:E259,"Английский язык")+COUNTIFS('Самопроверка по школам'!J2:J259,"III",'Самопроверка по школам'!E2:E259,"нем.яз.")</f>
        <v>0</v>
      </c>
      <c r="H6" s="13">
        <f>COUNTIFS('Самопроверка по школам'!J2:J259,"п.л.",'Самопроверка по школам'!E2:E259,"Английский язык")+COUNTIFS('Самопроверка по школам'!J2:J259,"п.л.",'Самопроверка по школам'!E2:E259,"нем.яз")</f>
        <v>2</v>
      </c>
      <c r="I6" s="13">
        <f>COUNTIFS('Самопроверка по школам'!$J$2:$J$259,"I",'Самопроверка по школам'!$E$2:$E$259,"Английский язык",'Самопроверка по школам'!$F$2:$F$259,8)+COUNTIFS('Самопроверка по школам'!$J$2:$J$259,"II",'Самопроверка по школам'!$E$2:$E$259,"Английский язык",'Самопроверка по школам'!$F$2:$F$259,8)+COUNTIFS('Самопроверка по школам'!$J$2:$J$259,"III",'Самопроверка по школам'!$E$2:$E$259,"Английский язык",'Самопроверка по школам'!$F$2:$F$259,8)+COUNTIFS('Самопроверка по школам'!$J$2:$J$259,"I",'Самопроверка по школам'!$E$2:$E$259,"нем.яз.",'Самопроверка по школам'!$F$2:$F$259,8)+COUNTIFS('Самопроверка по школам'!$J$2:$J$259,"II",'Самопроверка по школам'!$E$2:$E$259,"нем.яз.",'Самопроверка по школам'!$F$2:$F$259,8)+COUNTIFS('Самопроверка по школам'!$J$2:$J$259,"III",'Самопроверка по школам'!$E$2:$E$259,"нем.яз.",'Самопроверка по школам'!$F$2:$F$259,8)</f>
        <v>0</v>
      </c>
      <c r="J6" s="13">
        <f>COUNTIFS('Самопроверка по школам'!$J$2:$J$259,"I",'Самопроверка по школам'!$E$2:$E$259,"Английский язык",'Самопроверка по школам'!$F$2:$F$259,9)+COUNTIFS('Самопроверка по школам'!$J$2:$J$259,"II",'Самопроверка по школам'!$E$2:$E$259,"Английский язык",'Самопроверка по школам'!$F$2:$F$259,9)+COUNTIFS('Самопроверка по школам'!$J$2:$J$259,"III",'Самопроверка по школам'!$E$2:$E$259,"Английский язык",'Самопроверка по школам'!$F$2:$F$259,9)+COUNTIFS('Самопроверка по школам'!$J$2:$J$259,"I",'Самопроверка по школам'!$E$2:$E$259,"нем.яз.",'Самопроверка по школам'!$F$2:$F$259,9)+COUNTIFS('Самопроверка по школам'!$J$2:$J$259,"II",'Самопроверка по школам'!$E$2:$E$259,"нем.яз.",'Самопроверка по школам'!$F$2:$F$259,9)+COUNTIFS('Самопроверка по школам'!$J$2:$J$259,"III",'Самопроверка по школам'!$E$2:$E$259,"нем.яз.",'Самопроверка по школам'!$F$2:$F$259,9)</f>
        <v>0</v>
      </c>
      <c r="K6" s="13">
        <f>COUNTIFS('Самопроверка по школам'!$J$2:$J$259,"I",'Самопроверка по школам'!$E$2:$E$259,"Английский язык",'Самопроверка по школам'!$F$2:$F$259,10)+COUNTIFS('Самопроверка по школам'!$J$2:$J$259,"II",'Самопроверка по школам'!$E$2:$E$259,"Английский язык",'Самопроверка по школам'!$F$2:$F$259,10)+COUNTIFS('Самопроверка по школам'!$J$2:$J$259,"III",'Самопроверка по школам'!$E$2:$E$259,"Английский язык",'Самопроверка по школам'!$F$2:$F$259,10)+COUNTIFS('Самопроверка по школам'!$J$2:$J$259,"I",'Самопроверка по школам'!$E$2:$E$259,"нем.я.з",'Самопроверка по школам'!$F$2:$F$259,10)+COUNTIFS('Самопроверка по школам'!$J$2:$J$259,"II",'Самопроверка по школам'!$E$2:$E$259,"нем.яз.",'Самопроверка по школам'!$F$2:$F$259,10)+COUNTIFS('Самопроверка по школам'!$J$2:$J$259,"III",'Самопроверка по школам'!$E$2:$E$259,"нем.яз.",'Самопроверка по школам'!$F$2:$F$259,10)</f>
        <v>1</v>
      </c>
      <c r="L6" s="13">
        <f>COUNTIFS('Самопроверка по школам'!$J$2:$J$259,"I",'Самопроверка по школам'!$E$2:$E$259,"Английский язык",'Самопроверка по школам'!$F$2:$F$259,11)+COUNTIFS('Самопроверка по школам'!$J$2:$J$259,"II",'Самопроверка по школам'!$E$2:$E$259,"Английский язык",'Самопроверка по школам'!$F$2:$F$259,11)+COUNTIFS('Самопроверка по школам'!$J$2:$J$259,"III",'Самопроверка по школам'!$E$2:$E$259,"Английский язык",'Самопроверка по школам'!$F$2:$F$259,11)+COUNTIFS('Самопроверка по школам'!$J$2:$J$259,"I",'Самопроверка по школам'!$E$2:$E$259,"нем.яз.",'Самопроверка по школам'!$F$2:$F$259,11)+COUNTIFS('Самопроверка по школам'!$J$2:$J$259,"II",'Самопроверка по школам'!$E$2:$E$259,"нем.яз.",'Самопроверка по школам'!$F$2:$F$259,11)+COUNTIFS('Самопроверка по школам'!$J$2:$J$259,"III",'Самопроверка по школам'!$E$2:$E$259,"нем.яз.",'Самопроверка по школам'!$F$2:$F$259,11)</f>
        <v>2</v>
      </c>
      <c r="M6" s="2"/>
      <c r="N6" s="2"/>
    </row>
    <row r="7" spans="1:14" x14ac:dyDescent="0.25">
      <c r="A7" s="18" t="s">
        <v>62</v>
      </c>
      <c r="B7" s="13">
        <f>COUNTIFS('Самопроверка по школам'!E2:E259,"математика")</f>
        <v>23</v>
      </c>
      <c r="C7" s="13">
        <f>'Результативность по предметам'!M21</f>
        <v>1</v>
      </c>
      <c r="D7" s="48">
        <f t="shared" si="0"/>
        <v>4.3478260869565216E-2</v>
      </c>
      <c r="E7" s="13">
        <f>COUNTIFS('Самопроверка по школам'!J2:J259,"I",'Самопроверка по школам'!E2:E259,"математика")</f>
        <v>0</v>
      </c>
      <c r="F7" s="13">
        <f>COUNTIFS('Самопроверка по школам'!J2:J259,"II",'Самопроверка по школам'!E2:E259,"математика")</f>
        <v>0</v>
      </c>
      <c r="G7" s="13">
        <f>COUNTIFS('Самопроверка по школам'!J2:J259,"III",'Самопроверка по школам'!E2:E259,"математика")</f>
        <v>1</v>
      </c>
      <c r="H7" s="13">
        <f>COUNTIFS('Самопроверка по школам'!J2:J259,"п.л.",'Самопроверка по школам'!E2:E259,"математика")</f>
        <v>3</v>
      </c>
      <c r="I7" s="13">
        <f>COUNTIFS('Самопроверка по школам'!J2:J259,"I",'Самопроверка по школам'!E2:E259,"математика",'Самопроверка по школам'!F2:F259,8)+COUNTIFS('Самопроверка по школам'!J2:J259,"II",'Самопроверка по школам'!E2:E259,"математика",'Самопроверка по школам'!F2:F259,8)+COUNTIFS('Самопроверка по школам'!J2:J259,"III",'Самопроверка по школам'!E2:E259,"математика",'Самопроверка по школам'!F2:F259,8)</f>
        <v>0</v>
      </c>
      <c r="J7" s="13">
        <f>COUNTIFS('Самопроверка по школам'!J2:J259,"I",'Самопроверка по школам'!E2:E259,"математика",'Самопроверка по школам'!F2:F259,9)+COUNTIFS('Самопроверка по школам'!J2:J259,"II",'Самопроверка по школам'!E2:E259,"математика",'Самопроверка по школам'!F2:F259,9)+COUNTIFS('Самопроверка по школам'!J2:J259,"III",'Самопроверка по школам'!E2:E259,"математика",'Самопроверка по школам'!F2:F259,9)</f>
        <v>0</v>
      </c>
      <c r="K7" s="13">
        <f>COUNTIFS('Самопроверка по школам'!J2:J259,"I",'Самопроверка по школам'!E2:E259,"математика",'Самопроверка по школам'!F2:F259,10)+COUNTIFS('Самопроверка по школам'!J2:J259,"II",'Самопроверка по школам'!E2:E259,"математика",'Самопроверка по школам'!F2:F259,10)+COUNTIFS('Самопроверка по школам'!J2:J259,"III",'Самопроверка по школам'!E2:E259,"математика",'Самопроверка по школам'!F2:F259,10)</f>
        <v>1</v>
      </c>
      <c r="L7" s="13">
        <f>COUNTIFS('Самопроверка по школам'!$J$2:$J$259,"I",'Самопроверка по школам'!$E$2:$E$259,"Английский язык",'Самопроверка по школам'!$F$2:$F$259,8)+COUNTIFS('Самопроверка по школам'!$J$2:$J$259,"II",'Самопроверка по школам'!$E$2:$E$259,"Английский язык",'Самопроверка по школам'!$F$2:$F$259,8)+COUNTIFS('Самопроверка по школам'!$J$2:$J$259,"III",'Самопроверка по школам'!$E$2:$E$259,"Английский язык",'Самопроверка по школам'!$F$2:$F$259,8)+COUNTIFS('Самопроверка по школам'!$J$2:$J$259,"I",'Самопроверка по школам'!$E$2:$E$259,"нем.яз.",'Самопроверка по школам'!$F$2:$F$259,8)+COUNTIFS('Самопроверка по школам'!$J$2:$J$259,"II",'Самопроверка по школам'!$E$2:$E$259,"нем.яз.",'Самопроверка по школам'!$F$2:$F$259,8)+COUNTIFS('Самопроверка по школам'!$J$2:$J$259,"III",'Самопроверка по школам'!$E$2:$E$259,"нем.яз.",'Самопроверка по школам'!$F$2:$F$259,8)</f>
        <v>0</v>
      </c>
      <c r="M7" s="2"/>
      <c r="N7" s="2"/>
    </row>
    <row r="8" spans="1:14" x14ac:dyDescent="0.25">
      <c r="A8" s="18" t="s">
        <v>63</v>
      </c>
      <c r="B8" s="13">
        <f>COUNTIFS('Самопроверка по школам'!E2:E259,"физика")</f>
        <v>7</v>
      </c>
      <c r="C8" s="13">
        <f>'Результативность по предметам'!S21</f>
        <v>1</v>
      </c>
      <c r="D8" s="48">
        <f t="shared" si="0"/>
        <v>0.14285714285714285</v>
      </c>
      <c r="E8" s="13">
        <f>COUNTIFS('Самопроверка по школам'!J2:J259,"I",'Самопроверка по школам'!E2:E259,"физика")</f>
        <v>1</v>
      </c>
      <c r="F8" s="13">
        <f>COUNTIFS('Самопроверка по школам'!J2:J259,"II",'Самопроверка по школам'!E2:E259,"физика")</f>
        <v>0</v>
      </c>
      <c r="G8" s="13">
        <f>COUNTIFS('Самопроверка по школам'!J2:J259,"III",'Самопроверка по школам'!E2:E259,"физика")</f>
        <v>0</v>
      </c>
      <c r="H8" s="13">
        <f>COUNTIFS('Самопроверка по школам'!J2:J259,"п.л.",'Самопроверка по школам'!E2:E259,"физика")</f>
        <v>0</v>
      </c>
      <c r="I8" s="13">
        <f>COUNTIFS('Самопроверка по школам'!J2:J259,"I",'Самопроверка по школам'!E2:E259,"физика",'Самопроверка по школам'!F2:F259,8)+COUNTIFS('Самопроверка по школам'!J2:J259,"II",'Самопроверка по школам'!E2:E259,"физика",'Самопроверка по школам'!F2:F259,8)+COUNTIFS('Самопроверка по школам'!J2:J259,"III",'Самопроверка по школам'!E2:E259,"физика",'Самопроверка по школам'!F2:F259,8)</f>
        <v>0</v>
      </c>
      <c r="J8" s="13">
        <f>COUNTIFS('Самопроверка по школам'!J2:J259,"I",'Самопроверка по школам'!E2:E259,"физика",'Самопроверка по школам'!F2:F259,9)+COUNTIFS('Самопроверка по школам'!J2:J259,"II",'Самопроверка по школам'!E2:E259,"физика",'Самопроверка по школам'!F2:F259,9)+COUNTIFS('Самопроверка по школам'!J2:J259,"III",'Самопроверка по школам'!E2:E259,"физика",'Самопроверка по школам'!F2:F259,9)</f>
        <v>0</v>
      </c>
      <c r="K8" s="13">
        <f>COUNTIFS('Самопроверка по школам'!J2:J259,"I",'Самопроверка по школам'!E2:E259,"физика",'Самопроверка по школам'!F2:F259,10)+COUNTIFS('Самопроверка по школам'!J2:J259,"II",'Самопроверка по школам'!E2:E259,"физика",'Самопроверка по школам'!F2:F259,10)+COUNTIFS('Самопроверка по школам'!J2:J259,"III",'Самопроверка по школам'!E2:E259,"физика",'Самопроверка по школам'!F2:F259,10)</f>
        <v>0</v>
      </c>
      <c r="L8" s="13">
        <f>COUNTIFS('Самопроверка по школам'!J2:J259,"I",'Самопроверка по школам'!E2:E259,"физика",'Самопроверка по школам'!F2:F259,11)+COUNTIFS('Самопроверка по школам'!J2:J259,"II",'Самопроверка по школам'!E2:E259,"физика",'Самопроверка по школам'!F2:F259,11)+COUNTIFS('Самопроверка по школам'!J2:J259,"III",'Самопроверка по школам'!E2:E259,"физика",'Самопроверка по школам'!F2:F259,11)</f>
        <v>1</v>
      </c>
      <c r="M8" s="2"/>
      <c r="N8" s="2"/>
    </row>
    <row r="9" spans="1:14" x14ac:dyDescent="0.25">
      <c r="A9" s="18" t="s">
        <v>64</v>
      </c>
      <c r="B9" s="13">
        <f>COUNTIFS('Самопроверка по школам'!E2:E259,"информатика")</f>
        <v>6</v>
      </c>
      <c r="C9" s="13">
        <f>'Результативность по предметам'!N21</f>
        <v>2</v>
      </c>
      <c r="D9" s="48">
        <f t="shared" si="0"/>
        <v>0.33333333333333331</v>
      </c>
      <c r="E9" s="13">
        <f>COUNTIFS('Самопроверка по школам'!J2:J259,"I",'Самопроверка по школам'!E2:E259,"информатика")</f>
        <v>1</v>
      </c>
      <c r="F9" s="13">
        <f>COUNTIFS('Самопроверка по школам'!J2:J259,"II",'Самопроверка по школам'!E2:E259,"информатика")</f>
        <v>1</v>
      </c>
      <c r="G9" s="13">
        <f>COUNTIFS('Самопроверка по школам'!J2:J259,"III",'Самопроверка по школам'!E2:E259,"информатика")</f>
        <v>0</v>
      </c>
      <c r="H9" s="13">
        <f>COUNTIFS('Самопроверка по школам'!J2:J259,"п.л.",'Самопроверка по школам'!E2:E259,"информатика")</f>
        <v>1</v>
      </c>
      <c r="I9" s="13">
        <f>COUNTIFS('Самопроверка по школам'!J2:J259,"I",'Самопроверка по школам'!E2:E259,"информатика",'Самопроверка по школам'!F2:F259,8)+COUNTIFS('Самопроверка по школам'!J2:J259,"II",'Самопроверка по школам'!E2:E259,"информатика",'Самопроверка по школам'!F2:F259,8)+COUNTIFS('Самопроверка по школам'!J2:J259,"III",'Самопроверка по школам'!E2:E259,"информатика",'Самопроверка по школам'!F2:F259,8)</f>
        <v>0</v>
      </c>
      <c r="J9" s="13">
        <f>COUNTIFS('Самопроверка по школам'!J2:J259,"I",'Самопроверка по школам'!E2:E259,"информатика",'Самопроверка по школам'!F2:F259,9)+COUNTIFS('Самопроверка по школам'!J2:J259,"II",'Самопроверка по школам'!E2:E259,"информатика",'Самопроверка по школам'!F2:F259,9)+COUNTIFS('Самопроверка по школам'!J2:J259,"III",'Самопроверка по школам'!E2:E259,"информатика",'Самопроверка по школам'!F2:F259,9)</f>
        <v>0</v>
      </c>
      <c r="K9" s="13">
        <f>COUNTIFS('Самопроверка по школам'!J2:J259,"I",'Самопроверка по школам'!E2:E259,"информатика",'Самопроверка по школам'!F2:F259,10)+COUNTIFS('Самопроверка по школам'!J2:J259,"II",'Самопроверка по школам'!E2:E259,"информатика",'Самопроверка по школам'!F2:F259,10)+COUNTIFS('Самопроверка по школам'!J2:J259,"III",'Самопроверка по школам'!E2:E259,"информатика",'Самопроверка по школам'!F2:F259,10)</f>
        <v>1</v>
      </c>
      <c r="L9" s="13">
        <f>COUNTIFS('Самопроверка по школам'!J2:J259,"I",'Самопроверка по школам'!E2:E259,"информатика",'Самопроверка по школам'!F2:F259,11)+COUNTIFS('Самопроверка по школам'!J2:J259,"II",'Самопроверка по школам'!E2:E259,"информатика",'Самопроверка по школам'!F2:F259,11)+COUNTIFS('Самопроверка по школам'!J2:J259,"III",'Самопроверка по школам'!E2:E259,"информатика",'Самопроверка по школам'!F2:F259,11)</f>
        <v>1</v>
      </c>
      <c r="M9" s="2"/>
      <c r="N9" s="2"/>
    </row>
    <row r="10" spans="1:14" x14ac:dyDescent="0.25">
      <c r="A10" s="18" t="s">
        <v>65</v>
      </c>
      <c r="B10" s="13">
        <f>COUNTIFS('Самопроверка по школам'!E2:E259,"астрономия")</f>
        <v>4</v>
      </c>
      <c r="C10" s="13">
        <f>'Результативность по предметам'!T21</f>
        <v>0</v>
      </c>
      <c r="D10" s="48">
        <f t="shared" si="0"/>
        <v>0</v>
      </c>
      <c r="E10" s="13">
        <f>COUNTIFS('Самопроверка по школам'!J2:J259,"I",'Самопроверка по школам'!E2:E259,"астрономия")</f>
        <v>0</v>
      </c>
      <c r="F10" s="13">
        <f>COUNTIFS('Самопроверка по школам'!J2:J259,"II",'Самопроверка по школам'!E2:E259,"астрономия")</f>
        <v>0</v>
      </c>
      <c r="G10" s="13">
        <f>COUNTIFS('Самопроверка по школам'!J2:J259,"III",'Самопроверка по школам'!E2:E259,"астрономия")</f>
        <v>0</v>
      </c>
      <c r="H10" s="13">
        <f>COUNTIFS('Самопроверка по школам'!J2:J259,"п.л.",'Самопроверка по школам'!E2:E259,"астрономия")</f>
        <v>0</v>
      </c>
      <c r="I10" s="13">
        <f>COUNTIFS('Самопроверка по школам'!J2:J259,"I",'Самопроверка по школам'!E2:E259,"астрономия",'Самопроверка по школам'!F2:F259,8)+COUNTIFS('Самопроверка по школам'!J2:J259,"II",'Самопроверка по школам'!E2:E259,"астрономия",'Самопроверка по школам'!F2:F259,8)+COUNTIFS('Самопроверка по школам'!J2:J259,"III",'Самопроверка по школам'!E2:E259,"астрономия",'Самопроверка по школам'!F2:F259,8)</f>
        <v>0</v>
      </c>
      <c r="J10" s="13">
        <f>COUNTIFS('Самопроверка по школам'!J2:J259,"I",'Самопроверка по школам'!E2:E259,"астрономия",'Самопроверка по школам'!F2:F259,9)+COUNTIFS('Самопроверка по школам'!J2:J259,"II",'Самопроверка по школам'!E2:E259,"астрономия",'Самопроверка по школам'!F2:F259,9)+COUNTIFS('Самопроверка по школам'!J2:J259,"III",'Самопроверка по школам'!E2:E259,"астрономия",'Самопроверка по школам'!F2:F259,9)</f>
        <v>0</v>
      </c>
      <c r="K10" s="13">
        <f>COUNTIFS('Самопроверка по школам'!J2:J259,"I",'Самопроверка по школам'!E2:E259,"астрономия",'Самопроверка по школам'!F2:F259,10)+COUNTIFS('Самопроверка по школам'!J2:J259,"II",'Самопроверка по школам'!E2:E259,"астрономия",'Самопроверка по школам'!F2:F259,10)+COUNTIFS('Самопроверка по школам'!J2:J259,"III",'Самопроверка по школам'!E2:E259,"астрономия",'Самопроверка по школам'!F2:F259,10)</f>
        <v>0</v>
      </c>
      <c r="L10" s="13">
        <f>COUNTIFS('Самопроверка по школам'!J2:J259,"I",'Самопроверка по школам'!E2:E259,"астрономия",'Самопроверка по школам'!F2:F259,11)+COUNTIFS('Самопроверка по школам'!J2:J259,"II",'Самопроверка по школам'!E2:E259,"астрономия",'Самопроверка по школам'!F2:F259,11)+COUNTIFS('Самопроверка по школам'!J2:J259,"III",'Самопроверка по школам'!E2:E259,"астрономия",'Самопроверка по школам'!F2:F259,11)</f>
        <v>0</v>
      </c>
      <c r="M10" s="2"/>
      <c r="N10" s="2"/>
    </row>
    <row r="11" spans="1:14" x14ac:dyDescent="0.25">
      <c r="A11" s="18" t="s">
        <v>66</v>
      </c>
      <c r="B11" s="13">
        <f>COUNTIFS('Самопроверка по школам'!E2:E259,"биология")</f>
        <v>34</v>
      </c>
      <c r="C11" s="13">
        <f>'Результативность по предметам'!R21</f>
        <v>3</v>
      </c>
      <c r="D11" s="48">
        <f t="shared" si="0"/>
        <v>8.8235294117647065E-2</v>
      </c>
      <c r="E11" s="13">
        <f>COUNTIFS('Самопроверка по школам'!J2:J259,"I",'Самопроверка по школам'!E2:E259,"биология")</f>
        <v>0</v>
      </c>
      <c r="F11" s="13">
        <f>COUNTIFS('Самопроверка по школам'!J2:J259,"II",'Самопроверка по школам'!E2:E259,"Биология")</f>
        <v>0</v>
      </c>
      <c r="G11" s="13">
        <f>COUNTIFS('Самопроверка по школам'!J2:J259,"III",'Самопроверка по школам'!E2:E259,"биология")</f>
        <v>3</v>
      </c>
      <c r="H11" s="13">
        <f>COUNTIFS('Самопроверка по школам'!J2:J259,"п.л.",'Самопроверка по школам'!E2:E259,"биология")</f>
        <v>5</v>
      </c>
      <c r="I11" s="13">
        <f>COUNTIFS('Самопроверка по школам'!J2:J259,"I",'Самопроверка по школам'!E2:E259,"биология",'Самопроверка по школам'!F2:F259,8)+COUNTIFS('Самопроверка по школам'!J2:J259,"II",'Самопроверка по школам'!E2:E259,"биология",'Самопроверка по школам'!F2:F259,8)+COUNTIFS('Самопроверка по школам'!J2:J259,"III",'Самопроверка по школам'!E2:E259,"биология",'Самопроверка по школам'!F2:F259,8)</f>
        <v>0</v>
      </c>
      <c r="J11" s="13">
        <f>COUNTIFS('Самопроверка по школам'!J2:J259,"I",'Самопроверка по школам'!E2:E259,"биология",'Самопроверка по школам'!F2:F259,9)+COUNTIFS('Самопроверка по школам'!J2:J259,"II",'Самопроверка по школам'!E2:E259,"биология",'Самопроверка по школам'!F2:F259,9)+COUNTIFS('Самопроверка по школам'!J2:J259,"III",'Самопроверка по школам'!E2:E259,"биология",'Самопроверка по школам'!F2:F259,9)</f>
        <v>0</v>
      </c>
      <c r="K11" s="13">
        <f>COUNTIFS('Самопроверка по школам'!J2:J259,"I",'Самопроверка по школам'!E2:E259,"биология",'Самопроверка по школам'!F2:F259,10)+COUNTIFS('Самопроверка по школам'!J2:J259,"II",'Самопроверка по школам'!E2:E259,"биология",'Самопроверка по школам'!F2:F259,10)+COUNTIFS('Самопроверка по школам'!J2:J259,"III",'Самопроверка по школам'!E2:E259,"биология",'Самопроверка по школам'!F2:F259,10)</f>
        <v>0</v>
      </c>
      <c r="L11" s="13">
        <f>COUNTIFS('Самопроверка по школам'!J2:J259,"I",'Самопроверка по школам'!E2:E259,"биология",'Самопроверка по школам'!F2:F259,11)+COUNTIFS('Самопроверка по школам'!J2:J259,"II",'Самопроверка по школам'!E2:E259,"биология",'Самопроверка по школам'!F2:F259,11)+COUNTIFS('Самопроверка по школам'!J2:J259,"III",'Самопроверка по школам'!E2:E259,"биология",'Самопроверка по школам'!F2:F259,11)</f>
        <v>3</v>
      </c>
      <c r="M11" s="2"/>
      <c r="N11" s="2"/>
    </row>
    <row r="12" spans="1:14" x14ac:dyDescent="0.25">
      <c r="A12" s="18" t="s">
        <v>67</v>
      </c>
      <c r="B12" s="13">
        <f>COUNTIFS('Самопроверка по школам'!E2:E259,"химия")</f>
        <v>15</v>
      </c>
      <c r="C12" s="13">
        <f>'Результативность по предметам'!U21</f>
        <v>0</v>
      </c>
      <c r="D12" s="48">
        <f t="shared" si="0"/>
        <v>0</v>
      </c>
      <c r="E12" s="13">
        <f>COUNTIFS('Самопроверка по школам'!J2:J259,"I",'Самопроверка по школам'!E2:E259,"химия")</f>
        <v>0</v>
      </c>
      <c r="F12" s="13">
        <f>COUNTIFS('Самопроверка по школам'!J2:J259,"II",'Самопроверка по школам'!E2:E259,"химия")</f>
        <v>0</v>
      </c>
      <c r="G12" s="13">
        <f>COUNTIFS('Самопроверка по школам'!J2:J259,"III",'Самопроверка по школам'!E2:E259,"химия")</f>
        <v>0</v>
      </c>
      <c r="H12" s="13">
        <f>COUNTIFS('Самопроверка по школам'!J2:J259,"п.л.",'Самопроверка по школам'!E2:E259,"химия")</f>
        <v>0</v>
      </c>
      <c r="I12" s="13">
        <f>COUNTIFS('Самопроверка по школам'!J2:J259,"I",'Самопроверка по школам'!E2:E259,"химия",'Самопроверка по школам'!F2:F259,8)+COUNTIFS('Самопроверка по школам'!J2:J259,"II",'Самопроверка по школам'!E2:E259,"химия",'Самопроверка по школам'!F2:F259,8)+COUNTIFS('Самопроверка по школам'!J2:J259,"III",'Самопроверка по школам'!E2:E259,"химия",'Самопроверка по школам'!F2:F259,8)</f>
        <v>0</v>
      </c>
      <c r="J12" s="13">
        <f>COUNTIFS('Самопроверка по школам'!J2:J259,"I",'Самопроверка по школам'!E2:E259,"химия",'Самопроверка по школам'!F2:F259,9)+COUNTIFS('Самопроверка по школам'!J2:J259,"II",'Самопроверка по школам'!E2:E259,"химия",'Самопроверка по школам'!F2:F259,9)+COUNTIFS('Самопроверка по школам'!J2:J259,"III",'Самопроверка по школам'!E2:E259,"химия",'Самопроверка по школам'!F2:F259,9)</f>
        <v>0</v>
      </c>
      <c r="K12" s="13">
        <f>COUNTIFS('Самопроверка по школам'!J2:J259,"I",'Самопроверка по школам'!E2:E259,"химия",'Самопроверка по школам'!F2:F259,10)+COUNTIFS('Самопроверка по школам'!J2:J259,"II",'Самопроверка по школам'!E2:E259,"химия",'Самопроверка по школам'!F2:F259,10)+COUNTIFS('Самопроверка по школам'!J2:J259,"III",'Самопроверка по школам'!E2:E259,"химия",'Самопроверка по школам'!F2:F259,10)</f>
        <v>0</v>
      </c>
      <c r="L12" s="13">
        <f>COUNTIFS('Самопроверка по школам'!J2:J259,"I",'Самопроверка по школам'!E2:E259,"химия",'Самопроверка по школам'!F2:F259,11)+COUNTIFS('Самопроверка по школам'!J2:J259,"II",'Самопроверка по школам'!E2:E259,"химия",'Самопроверка по школам'!F2:F259,11)+COUNTIFS('Самопроверка по школам'!J2:J259,"III",'Самопроверка по школам'!E2:E259,"химия",'Самопроверка по школам'!F2:F259,11)</f>
        <v>0</v>
      </c>
      <c r="M12" s="2"/>
      <c r="N12" s="2"/>
    </row>
    <row r="13" spans="1:14" x14ac:dyDescent="0.25">
      <c r="A13" s="18" t="s">
        <v>68</v>
      </c>
      <c r="B13" s="13">
        <f>COUNTIFS('Самопроверка по школам'!E2:E259,"география")</f>
        <v>15</v>
      </c>
      <c r="C13" s="13">
        <f>'Результативность по предметам'!Q21</f>
        <v>3</v>
      </c>
      <c r="D13" s="48">
        <f t="shared" si="0"/>
        <v>0.2</v>
      </c>
      <c r="E13" s="13">
        <f>COUNTIFS('Самопроверка по школам'!J2:J259,"I",'Самопроверка по школам'!E2:E259,"география")</f>
        <v>0</v>
      </c>
      <c r="F13" s="13">
        <f>COUNTIFS('Самопроверка по школам'!J2:J259,"II",'Самопроверка по школам'!E2:E259,"география")</f>
        <v>1</v>
      </c>
      <c r="G13" s="13">
        <f>COUNTIFS('Самопроверка по школам'!J2:J259,"III",'Самопроверка по школам'!E2:E259,"география")</f>
        <v>2</v>
      </c>
      <c r="H13" s="13">
        <f>COUNTIFS('Самопроверка по школам'!J2:J259,"п.л.",'Самопроверка по школам'!E2:E259,"география")</f>
        <v>3</v>
      </c>
      <c r="I13" s="13">
        <f>COUNTIFS('Самопроверка по школам'!J2:J259,"I",'Самопроверка по школам'!E2:E259,"география",'Самопроверка по школам'!F2:F259,8)+COUNTIFS('Самопроверка по школам'!J2:J259,"II",'Самопроверка по школам'!E2:E259,"география",'Самопроверка по школам'!F2:F259,8)+COUNTIFS('Самопроверка по школам'!J2:J259,"III",'Самопроверка по школам'!E2:E259,"география",'Самопроверка по школам'!F2:F259,8)</f>
        <v>0</v>
      </c>
      <c r="J13" s="13">
        <f>COUNTIFS('Самопроверка по школам'!J2:J259,"I",'Самопроверка по школам'!E2:E259,"география",'Самопроверка по школам'!F2:F259,9)+COUNTIFS('Самопроверка по школам'!J2:J259,"II",'Самопроверка по школам'!E2:E259,"география",'Самопроверка по школам'!F2:F259,9)+COUNTIFS('Самопроверка по школам'!J2:J259,"III",'Самопроверка по школам'!E2:E259,"география",'Самопроверка по школам'!F2:F259,9)</f>
        <v>1</v>
      </c>
      <c r="K13" s="13">
        <f>COUNTIFS('Самопроверка по школам'!J2:J259,"I",'Самопроверка по школам'!E2:E259,"география",'Самопроверка по школам'!F2:F259,10)+COUNTIFS('Самопроверка по школам'!J2:J259,"II",'Самопроверка по школам'!E2:E259,"география",'Самопроверка по школам'!F2:F259,10)+COUNTIFS('Самопроверка по школам'!J2:J259,"III",'Самопроверка по школам'!E2:E259,"география",'Самопроверка по школам'!F2:F259,10)</f>
        <v>1</v>
      </c>
      <c r="L13" s="13">
        <f>COUNTIFS('Самопроверка по школам'!J2:J259,"I",'Самопроверка по школам'!E2:E259,"география",'Самопроверка по школам'!F2:F259,11)+COUNTIFS('Самопроверка по школам'!J2:J259,"II",'Самопроверка по школам'!E2:E259,"география",'Самопроверка по школам'!F2:F259,11)+COUNTIFS('Самопроверка по школам'!J2:J259,"III",'Самопроверка по школам'!E2:E259,"география",'Самопроверка по школам'!F2:F259,11)</f>
        <v>1</v>
      </c>
      <c r="M13" s="2"/>
      <c r="N13" s="2"/>
    </row>
    <row r="14" spans="1:14" x14ac:dyDescent="0.25">
      <c r="A14" s="18" t="s">
        <v>69</v>
      </c>
      <c r="B14" s="13">
        <f>COUNTIFS('Самопроверка по школам'!E2:E259,"история")</f>
        <v>13</v>
      </c>
      <c r="C14" s="13">
        <f>'Результативность по предметам'!O21</f>
        <v>1</v>
      </c>
      <c r="D14" s="48">
        <f t="shared" si="0"/>
        <v>7.6923076923076927E-2</v>
      </c>
      <c r="E14" s="13">
        <f>COUNTIFS('Самопроверка по школам'!J2:J259,"I",'Самопроверка по школам'!E2:E259,"история")</f>
        <v>0</v>
      </c>
      <c r="F14" s="13">
        <f>COUNTIFS('Самопроверка по школам'!J2:J259,"II",'Самопроверка по школам'!E2:E259,"история")</f>
        <v>0</v>
      </c>
      <c r="G14" s="13">
        <f>COUNTIFS('Самопроверка по школам'!J2:J259,"III",'Самопроверка по школам'!E2:E259,"история")</f>
        <v>1</v>
      </c>
      <c r="H14" s="13">
        <f>COUNTIFS('Самопроверка по школам'!J2:J259,"п.л.",'Самопроверка по школам'!E2:E259,"история")</f>
        <v>2</v>
      </c>
      <c r="I14" s="13">
        <f>COUNTIFS('Самопроверка по школам'!J2:J259,"I",'Самопроверка по школам'!E2:E259,"история",'Самопроверка по школам'!F2:F259,8)+COUNTIFS('Самопроверка по школам'!J2:J259,"II",'Самопроверка по школам'!E2:E259,"история",'Самопроверка по школам'!F2:F259,8)+COUNTIFS('Самопроверка по школам'!J2:J259,"III",'Самопроверка по школам'!E2:E259,"история",'Самопроверка по школам'!F2:F259,8)</f>
        <v>0</v>
      </c>
      <c r="J14" s="13">
        <f>COUNTIFS('Самопроверка по школам'!J2:J259,"I",'Самопроверка по школам'!E2:E259,"история",'Самопроверка по школам'!F2:F259,9)+COUNTIFS('Самопроверка по школам'!J2:J259,"II",'Самопроверка по школам'!E2:E259,"история",'Самопроверка по школам'!F2:F259,9)+COUNTIFS('Самопроверка по школам'!J2:J259,"III",'Самопроверка по школам'!E2:E259,"история",'Самопроверка по школам'!F2:F259,9)</f>
        <v>0</v>
      </c>
      <c r="K14" s="13">
        <f>COUNTIFS('Самопроверка по школам'!J2:J259,"I",'Самопроверка по школам'!E2:E259,"история",'Самопроверка по школам'!F2:F259,10)+COUNTIFS('Самопроверка по школам'!J2:J259,"II",'Самопроверка по школам'!E2:E259,"история",'Самопроверка по школам'!F2:F259,10)+COUNTIFS('Самопроверка по школам'!J2:J259,"III",'Самопроверка по школам'!E2:E259,"история",'Самопроверка по школам'!F2:F259,10)</f>
        <v>1</v>
      </c>
      <c r="L14" s="13">
        <f>COUNTIFS('Самопроверка по школам'!J2:J259,"I",'Самопроверка по школам'!E2:E259,"история",'Самопроверка по школам'!F2:F259,11)+COUNTIFS('Самопроверка по школам'!J2:J259,"II",'Самопроверка по школам'!E2:E259,"история",'Самопроверка по школам'!F2:F259,11)+COUNTIFS('Самопроверка по школам'!J2:J259,"III",'Самопроверка по школам'!E2:E259,"история",'Самопроверка по школам'!F2:F259,11)</f>
        <v>0</v>
      </c>
      <c r="M14" s="2"/>
      <c r="N14" s="2"/>
    </row>
    <row r="15" spans="1:14" x14ac:dyDescent="0.25">
      <c r="A15" s="18" t="s">
        <v>70</v>
      </c>
      <c r="B15" s="13">
        <f>COUNTIFS('Самопроверка по школам'!E2:E259,"обществоведение")</f>
        <v>17</v>
      </c>
      <c r="C15" s="13">
        <f>'Результативность по предметам'!P21</f>
        <v>2</v>
      </c>
      <c r="D15" s="48">
        <f t="shared" si="0"/>
        <v>0.11764705882352941</v>
      </c>
      <c r="E15" s="13">
        <f>COUNTIFS('Самопроверка по школам'!J2:J259,"I",'Самопроверка по школам'!E2:E259,"обществоведение")</f>
        <v>0</v>
      </c>
      <c r="F15" s="13">
        <f>COUNTIFS('Самопроверка по школам'!J2:J259,"II",'Самопроверка по школам'!E2:E259,"обществоведение")</f>
        <v>0</v>
      </c>
      <c r="G15" s="13">
        <f>COUNTIFS('Самопроверка по школам'!J2:J259,"III",'Самопроверка по школам'!E2:E259,"обществоведение")</f>
        <v>2</v>
      </c>
      <c r="H15" s="13">
        <f>COUNTIFS('Самопроверка по школам'!J2:J259,"п.л.",'Самопроверка по школам'!E2:E259,"обществоведение")</f>
        <v>4</v>
      </c>
      <c r="I15" s="13">
        <f>COUNTIFS('Самопроверка по школам'!J2:J259,"I",'Самопроверка по школам'!E2:E259,"обществоведение",'Самопроверка по школам'!F2:F259,8)+COUNTIFS('Самопроверка по школам'!J2:J259,"II",'Самопроверка по школам'!E2:E259,"обществоведение",'Самопроверка по школам'!F2:F259,8)+COUNTIFS('Самопроверка по школам'!J2:J259,"III",'Самопроверка по школам'!E2:E259,"обществоведение",'Самопроверка по школам'!F2:F259,8)</f>
        <v>0</v>
      </c>
      <c r="J15" s="13">
        <f>COUNTIFS('Самопроверка по школам'!J2:J259,"I",'Самопроверка по школам'!E2:E259,"обществоведение",'Самопроверка по школам'!F2:F259,9)+COUNTIFS('Самопроверка по школам'!J2:J259,"II",'Самопроверка по школам'!E2:E259,"обществоведение",'Самопроверка по школам'!F2:F259,9)+COUNTIFS('Самопроверка по школам'!J2:J259,"ΙΙΙ",'Самопроверка по школам'!E2:E259,"обществоведение",'Самопроверка по школам'!F2:F259,9)</f>
        <v>0</v>
      </c>
      <c r="K15" s="13">
        <f>COUNTIFS('Самопроверка по школам'!J2:J259,"I",'Самопроверка по школам'!E2:E259,"обществоведение",'Самопроверка по школам'!F2:F259,10)+COUNTIFS('Самопроверка по школам'!J2:J259,"II",'Самопроверка по школам'!E2:E259,"обществоведение",'Самопроверка по школам'!F2:F259,10)+COUNTIFS('Самопроверка по школам'!J2:J259,"III",'Самопроверка по школам'!E2:E259,"обществоведение",'Самопроверка по школам'!F2:F259,10)</f>
        <v>0</v>
      </c>
      <c r="L15" s="13">
        <f>COUNTIFS('Самопроверка по школам'!J2:J259,"I",'Самопроверка по школам'!E2:E259,"обществоведение",'Самопроверка по школам'!F2:F259,11)+COUNTIFS('Самопроверка по школам'!J2:J259,"II",'Самопроверка по школам'!E2:E259,"обществоведение",'Самопроверка по школам'!F2:F259,11)+COUNTIFS('Самопроверка по школам'!J2:J259,"III",'Самопроверка по школам'!E2:E259,"обществоведение",'Самопроверка по школам'!F2:F259,11)</f>
        <v>2</v>
      </c>
      <c r="M15" s="2"/>
      <c r="N15" s="2"/>
    </row>
    <row r="16" spans="1:14" x14ac:dyDescent="0.25">
      <c r="A16" s="18" t="s">
        <v>71</v>
      </c>
      <c r="B16" s="13">
        <f>COUNTIFS('Самопроверка по школам'!E2:E259,"Трудовое обучение")</f>
        <v>32</v>
      </c>
      <c r="C16" s="13">
        <f>'Результативность по предметам'!V21</f>
        <v>15</v>
      </c>
      <c r="D16" s="48">
        <f t="shared" si="0"/>
        <v>0.46875</v>
      </c>
      <c r="E16" s="13">
        <f>COUNTIFS('Самопроверка по школам'!J2:J259,"I",'Самопроверка по школам'!E2:E259,"Трудовое обучение")</f>
        <v>3</v>
      </c>
      <c r="F16" s="13">
        <f>COUNTIFS('Самопроверка по школам'!J2:J259,"II",'Самопроверка по школам'!E2:E259,"Трудовое обучение")</f>
        <v>6</v>
      </c>
      <c r="G16" s="13">
        <f>COUNTIFS('Самопроверка по школам'!J2:J259,"III",'Самопроверка по школам'!E2:E259,"Трудовое обучение")</f>
        <v>6</v>
      </c>
      <c r="H16" s="13">
        <f>COUNTIFS('Самопроверка по школам'!J2:J259,"п.л.",'Самопроверка по школам'!E2:E259,"Трудовое обучение")</f>
        <v>8</v>
      </c>
      <c r="I16" s="13">
        <f>COUNTIFS('Самопроверка по школам'!J2:J259,"I",'Самопроверка по школам'!E2:E259,"Трудовое обучение",'Самопроверка по школам'!F2:F259,8)+COUNTIFS('Самопроверка по школам'!J2:J259,"II",'Самопроверка по школам'!E2:E259,"Трудовое обучение",'Самопроверка по школам'!F2:F259,8)+COUNTIFS('Самопроверка по школам'!J2:J259,"III",'Самопроверка по школам'!E2:E259,"Трудовое обучение",'Самопроверка по школам'!F2:F259,8)</f>
        <v>0</v>
      </c>
      <c r="J16" s="13">
        <f>COUNTIFS('Самопроверка по школам'!J2:J259,"I",'Самопроверка по школам'!E2:E259,"Трудовое обучение",'Самопроверка по школам'!F2:F259,9)+COUNTIFS('Самопроверка по школам'!J2:J259,"II",'Самопроверка по школам'!E2:E259,"Трудовое обучение",'Самопроверка по школам'!F2:F259,9)+COUNTIFS('Самопроверка по школам'!J2:J259,"III",'Самопроверка по школам'!E2:E259,"Трудовое обучение",'Самопроверка по школам'!F2:F259,9)</f>
        <v>4</v>
      </c>
      <c r="K16" s="13">
        <f>COUNTIFS('Самопроверка по школам'!J2:J259,"I",'Самопроверка по школам'!E2:E259,"Трудовое обучение",'Самопроверка по школам'!F2:F259,10)+COUNTIFS('Самопроверка по школам'!J2:J259,"II",'Самопроверка по школам'!E2:E259,"Трудовое обучение",'Самопроверка по школам'!F2:F259,10)+COUNTIFS('Самопроверка по школам'!J2:J259,"III",'Самопроверка по школам'!E2:E259,"Трудовое обучение",'Самопроверка по школам'!F2:F259,10)</f>
        <v>4</v>
      </c>
      <c r="L16" s="13">
        <f>COUNTIFS('Самопроверка по школам'!J2:J259,"I",'Самопроверка по школам'!E2:E259,"Трудовое обучение",'Самопроверка по школам'!F2:F259,11)+COUNTIFS('Самопроверка по школам'!J2:J259,"II",'Самопроверка по школам'!E2:E259,"Трудовое обучение",'Самопроверка по школам'!F2:F259,11)+COUNTIFS('Самопроверка по школам'!J2:J259,"III",'Самопроверка по школам'!E2:E259,"Трудовое обучение",'Самопроверка по школам'!F2:F259,11)</f>
        <v>7</v>
      </c>
      <c r="M16" s="2"/>
      <c r="N16" s="2"/>
    </row>
    <row r="17" spans="1:14" ht="45" x14ac:dyDescent="0.25">
      <c r="A17" s="18" t="s">
        <v>250</v>
      </c>
      <c r="B17" s="13">
        <f>COUNTIFS('Самопроверка по школам'!E3:E260,"физическая культура и здоровье")</f>
        <v>36</v>
      </c>
      <c r="C17" s="13">
        <f>'Результативность по предметам'!W21</f>
        <v>6</v>
      </c>
      <c r="D17" s="48">
        <f t="shared" ref="D17:D18" si="1">C17/B17</f>
        <v>0.16666666666666666</v>
      </c>
      <c r="E17" s="13">
        <f>COUNTIFS('Самопроверка по школам'!J3:J260,"I",'Самопроверка по школам'!E3:E260,"физическая культура и здоровье")</f>
        <v>2</v>
      </c>
      <c r="F17" s="13">
        <f>COUNTIFS('Самопроверка по школам'!J3:J260,"II",'Самопроверка по школам'!E3:E260,"физическая культура и здоровье")</f>
        <v>2</v>
      </c>
      <c r="G17" s="13">
        <f>COUNTIFS('Самопроверка по школам'!J3:J260,"III",'Самопроверка по школам'!E3:E260,"физическая культура и здоровье")</f>
        <v>2</v>
      </c>
      <c r="H17" s="13">
        <f>COUNTIFS('Самопроверка по школам'!J3:J260,"п.л.",'Самопроверка по школам'!E3:E260,"физическая культура и здоровье")</f>
        <v>12</v>
      </c>
      <c r="I17" s="13">
        <f>COUNTIFS('Самопроверка по школам'!J3:J260,"I",'Самопроверка по школам'!E3:E260,"физическая культура и здоровье",'Самопроверка по школам'!F3:F260,8)+COUNTIFS('Самопроверка по школам'!J3:J260,"II",'Самопроверка по школам'!E3:E260,"физическая культура и здоровье",'Самопроверка по школам'!F3:F260,8)+COUNTIFS('Самопроверка по школам'!J3:J260,"III",'Самопроверка по школам'!E3:E260,"физическая культура и здоровье",'Самопроверка по школам'!F3:F260,8)</f>
        <v>0</v>
      </c>
      <c r="J17" s="13">
        <f>COUNTIFS('Самопроверка по школам'!J3:J260,"I",'Самопроверка по школам'!E3:E260,"физическая культура и здоровье",'Самопроверка по школам'!F3:F260,9)+COUNTIFS('Самопроверка по школам'!J3:J260,"II",'Самопроверка по школам'!E3:E260,"физическая культура и здоровье",'Самопроверка по школам'!F3:F260,9)+COUNTIFS('Самопроверка по школам'!J3:J260,"III",'Самопроверка по школам'!E3:E260,"физическая культура и здоровье",'Самопроверка по школам'!F3:F260,9)</f>
        <v>1</v>
      </c>
      <c r="K17" s="13">
        <f>COUNTIFS('Самопроверка по школам'!J3:J260,"I",'Самопроверка по школам'!E3:E260,"физическая культура и здоровье",'Самопроверка по школам'!F3:F260,10)+COUNTIFS('Самопроверка по школам'!J3:J260,"II",'Самопроверка по школам'!E3:E260,"физическая культура и здоровье",'Самопроверка по школам'!F3:F260,10)+COUNTIFS('Самопроверка по школам'!J3:J260,"III",'Самопроверка по школам'!E3:E260,"физическая культура и здоровье",'Самопроверка по школам'!F3:F260,10)</f>
        <v>3</v>
      </c>
      <c r="L17" s="13">
        <f>COUNTIFS('Самопроверка по школам'!J3:J260,"I",'Самопроверка по школам'!E3:E260,"физическая культура и здоровье",'Самопроверка по школам'!F3:F260,11)+COUNTIFS('Самопроверка по школам'!J3:J260,"II",'Самопроверка по школам'!E3:E260,"физическая культура и здоровье",'Самопроверка по школам'!F3:F260,11)+COUNTIFS('Самопроверка по школам'!J3:J260,"III",'Самопроверка по школам'!E3:E260,"физическая культура и здоровье",'Самопроверка по школам'!F3:F260,11)</f>
        <v>2</v>
      </c>
      <c r="M17" s="2"/>
      <c r="N17" s="2"/>
    </row>
    <row r="18" spans="1:14" ht="28.5" x14ac:dyDescent="0.25">
      <c r="A18" s="35" t="s">
        <v>72</v>
      </c>
      <c r="B18" s="76">
        <f>SUM(B4:B17)</f>
        <v>251</v>
      </c>
      <c r="C18" s="76">
        <f t="shared" ref="C18:L18" si="2">SUM(C4:C17)</f>
        <v>54</v>
      </c>
      <c r="D18" s="48">
        <f t="shared" si="1"/>
        <v>0.2151394422310757</v>
      </c>
      <c r="E18" s="76">
        <f t="shared" si="2"/>
        <v>8</v>
      </c>
      <c r="F18" s="76">
        <f t="shared" si="2"/>
        <v>15</v>
      </c>
      <c r="G18" s="76">
        <f t="shared" si="2"/>
        <v>31</v>
      </c>
      <c r="H18" s="76">
        <f t="shared" si="2"/>
        <v>53</v>
      </c>
      <c r="I18" s="76">
        <f t="shared" si="2"/>
        <v>0</v>
      </c>
      <c r="J18" s="76">
        <f t="shared" si="2"/>
        <v>12</v>
      </c>
      <c r="K18" s="76">
        <f t="shared" si="2"/>
        <v>20</v>
      </c>
      <c r="L18" s="76">
        <f t="shared" si="2"/>
        <v>22</v>
      </c>
      <c r="M18" s="2">
        <f>SUM(E18:G18)</f>
        <v>54</v>
      </c>
      <c r="N18" s="2"/>
    </row>
    <row r="21" spans="1:14" x14ac:dyDescent="0.25">
      <c r="E21" s="2"/>
    </row>
  </sheetData>
  <mergeCells count="13">
    <mergeCell ref="I2:I3"/>
    <mergeCell ref="J2:J3"/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B20" sqref="B20"/>
    </sheetView>
  </sheetViews>
  <sheetFormatPr defaultRowHeight="15" x14ac:dyDescent="0.25"/>
  <cols>
    <col min="1" max="1" width="5.42578125" style="5" customWidth="1"/>
    <col min="2" max="2" width="28.140625" style="5" customWidth="1"/>
    <col min="3" max="4" width="7.140625" style="5" customWidth="1"/>
    <col min="5" max="5" width="6.28515625" style="5" customWidth="1"/>
    <col min="6" max="6" width="6.42578125" style="5" customWidth="1"/>
    <col min="7" max="7" width="4.85546875" style="5" customWidth="1"/>
    <col min="8" max="8" width="5" style="5" customWidth="1"/>
    <col min="9" max="9" width="5.42578125" style="5" customWidth="1"/>
    <col min="10" max="10" width="6.140625" style="5" customWidth="1"/>
    <col min="11" max="11" width="6" style="5" customWidth="1"/>
    <col min="12" max="12" width="5.42578125" style="5" customWidth="1"/>
    <col min="13" max="13" width="6.7109375" style="5" customWidth="1"/>
    <col min="14" max="14" width="6.28515625" style="5" customWidth="1"/>
    <col min="15" max="15" width="5.5703125" style="5" customWidth="1"/>
    <col min="16" max="16" width="5.42578125" style="5" customWidth="1"/>
    <col min="17" max="17" width="5.140625" style="5" customWidth="1"/>
    <col min="18" max="16384" width="9.140625" style="5"/>
  </cols>
  <sheetData>
    <row r="1" spans="1:21" ht="97.5" customHeight="1" x14ac:dyDescent="0.25">
      <c r="A1" s="226" t="s">
        <v>399</v>
      </c>
      <c r="B1" s="227"/>
      <c r="C1" s="228"/>
      <c r="D1" s="207" t="s">
        <v>31</v>
      </c>
      <c r="E1" s="209" t="s">
        <v>32</v>
      </c>
      <c r="F1" s="181" t="s">
        <v>33</v>
      </c>
      <c r="G1" s="229" t="s">
        <v>34</v>
      </c>
      <c r="H1" s="167" t="s">
        <v>35</v>
      </c>
      <c r="I1" s="177" t="s">
        <v>36</v>
      </c>
      <c r="J1" s="173" t="s">
        <v>37</v>
      </c>
      <c r="K1" s="175" t="s">
        <v>38</v>
      </c>
      <c r="L1" s="177" t="s">
        <v>39</v>
      </c>
      <c r="M1" s="179" t="s">
        <v>46</v>
      </c>
      <c r="N1" s="181" t="s">
        <v>47</v>
      </c>
      <c r="O1" s="165" t="s">
        <v>48</v>
      </c>
      <c r="P1" s="167" t="s">
        <v>49</v>
      </c>
      <c r="Q1" s="224" t="s">
        <v>50</v>
      </c>
      <c r="R1" s="222" t="s">
        <v>251</v>
      </c>
    </row>
    <row r="2" spans="1:21" ht="35.25" customHeight="1" x14ac:dyDescent="0.25">
      <c r="A2" s="36" t="s">
        <v>22</v>
      </c>
      <c r="B2" s="37" t="s">
        <v>1</v>
      </c>
      <c r="C2" s="77" t="s">
        <v>24</v>
      </c>
      <c r="D2" s="208"/>
      <c r="E2" s="210"/>
      <c r="F2" s="182"/>
      <c r="G2" s="230"/>
      <c r="H2" s="168"/>
      <c r="I2" s="178"/>
      <c r="J2" s="174"/>
      <c r="K2" s="176"/>
      <c r="L2" s="178"/>
      <c r="M2" s="180"/>
      <c r="N2" s="182"/>
      <c r="O2" s="166"/>
      <c r="P2" s="168"/>
      <c r="Q2" s="225"/>
      <c r="R2" s="223"/>
    </row>
    <row r="3" spans="1:21" ht="18.75" x14ac:dyDescent="0.25">
      <c r="A3" s="6">
        <v>1</v>
      </c>
      <c r="B3" s="9" t="s">
        <v>13</v>
      </c>
      <c r="C3" s="6">
        <f>COUNTIFS('Самопроверка по школам'!J2:J259,"п.л.",'Самопроверка по школам'!D2:D259,"СШ №1 г.Сенно")</f>
        <v>12</v>
      </c>
      <c r="D3" s="17">
        <f>COUNTIFS('Самопроверка по школам'!$D$2:$D$259,"СШ №1 г.Сенно",'Самопроверка по школам'!$E$2:$E$259,"бел.яз и лит.",'Самопроверка по школам'!$J$2:$J$259,"п.л.")</f>
        <v>2</v>
      </c>
      <c r="E3" s="17">
        <f>COUNTIFS('Самопроверка по школам'!$D$2:$D$259,"СШ №1 г.Сенно",'Самопроверка по школам'!$E$2:$E$259,"Русский язык и литература",'Самопроверка по школам'!$J$2:$J$259,"п.л.")</f>
        <v>1</v>
      </c>
      <c r="F3" s="17">
        <f>COUNTIFS('Самопроверка по школам'!$J$2:$J$259,"п.л.",'Самопроверка по школам'!$E$2:$E$259,"Английский язык",'Самопроверка по школам'!$D$2:$D$259,"СШ №1 г.Сенно")</f>
        <v>0</v>
      </c>
      <c r="G3" s="17">
        <f>COUNTIFS('Самопроверка по школам'!$J$2:$J$259,"п.л.",'Самопроверка по школам'!$E$2:$E$259,"нем.яз",'Самопроверка по школам'!$D$2:$D$259,"СШ №1 г.Сенно")</f>
        <v>0</v>
      </c>
      <c r="H3" s="17">
        <f>COUNTIFS('Самопроверка по школам'!$D$2:$D$259,"СШ №1 г.Сенно",'Самопроверка по школам'!$E$2:$E$259,"математика",'Самопроверка по школам'!$J$2:$J$259,"п.л.")</f>
        <v>1</v>
      </c>
      <c r="I3" s="17">
        <f>COUNTIFS('Самопроверка по школам'!$D$2:$D$259,"СШ №1 г.Сенно",'Самопроверка по школам'!$E$2:$E$259,"информатика",'Самопроверка по школам'!$J$2:$J$259,"п.л.")</f>
        <v>0</v>
      </c>
      <c r="J3" s="17">
        <f>COUNTIFS('Самопроверка по школам'!$D$2:$D$259,"СШ №1 г.Сенно",'Самопроверка по школам'!$E$2:$E$259,"история",'Самопроверка по школам'!$J$2:$J$259,"п.л.")</f>
        <v>0</v>
      </c>
      <c r="K3" s="17">
        <f>COUNTIFS('Самопроверка по школам'!$D$2:$D$259,"СШ №1 г.Сенно",'Самопроверка по школам'!$E$2:$E$259,"обществоведение",'Самопроверка по школам'!$J$2:$J$259,"п.л.")</f>
        <v>2</v>
      </c>
      <c r="L3" s="17">
        <f>COUNTIFS('Самопроверка по школам'!$D$2:$D$259,"СШ №1 г.Сенно",'Самопроверка по школам'!$E$2:$E$259,"география",'Самопроверка по школам'!$J$2:$J$259,"п.л.")</f>
        <v>1</v>
      </c>
      <c r="M3" s="17">
        <f>COUNTIFS('Самопроверка по школам'!$J$2:$J$259,"п.л.",'Самопроверка по школам'!$E$2:$E$259,"Биология",'Самопроверка по школам'!$D$2:$D$259,"СШ №1 г.Сенно")</f>
        <v>2</v>
      </c>
      <c r="N3" s="17">
        <f>COUNTIFS('Самопроверка по школам'!$D$2:$D$259,"СШ №1 г.Сенно",'Самопроверка по школам'!$E$2:$E$259,"физика",'Самопроверка по школам'!$J$2:$J$259,"п.л.")</f>
        <v>0</v>
      </c>
      <c r="O3" s="17">
        <f>COUNTIFS('Самопроверка по школам'!$J$2:$J$259,"п.л.",'Самопроверка по школам'!$E$2:$E$259,"астрономия",'Самопроверка по школам'!$D$2:$D$259,"СШ №1 г.Сенно")</f>
        <v>0</v>
      </c>
      <c r="P3" s="17">
        <f>COUNTIFS('Самопроверка по школам'!$J$2:$J$259,"п.л.",'Самопроверка по школам'!$E$2:$E$259,"химия",'Самопроверка по школам'!$D$2:$D$259,"СШ №1 г.Сенно")</f>
        <v>0</v>
      </c>
      <c r="Q3" s="17">
        <f>COUNTIFS('Самопроверка по школам'!$J$2:$J$259,"п.л.",'Самопроверка по школам'!$E$2:$E$259,"Трудовое обучение",'Самопроверка по школам'!$D$2:$D$259,"СШ №1 г.Сенно")</f>
        <v>0</v>
      </c>
      <c r="R3" s="17">
        <f>COUNTIFS('Самопроверка по школам'!$J$2:$J$259,"п.л.",'Самопроверка по школам'!$E$2:$E$259,"физическая культура и здоровье",'Самопроверка по школам'!$D$2:$D$259,"СШ №1 г.Сенно")</f>
        <v>3</v>
      </c>
      <c r="S3" s="46"/>
      <c r="U3" s="46"/>
    </row>
    <row r="4" spans="1:21" ht="18.75" x14ac:dyDescent="0.25">
      <c r="A4" s="6">
        <v>2</v>
      </c>
      <c r="B4" s="7" t="s">
        <v>25</v>
      </c>
      <c r="C4" s="6">
        <f>COUNTIFS('Самопроверка по школам'!J2:J259,"п.л.",'Самопроверка по школам'!D2:D259,"СШ №2г.Сенно")</f>
        <v>14</v>
      </c>
      <c r="D4" s="17">
        <f>COUNTIFS('Самопроверка по школам'!$D$2:$D$259,"СШ №2г.Сенно",'Самопроверка по школам'!$E$2:$E$259,"бел.яз и лит.",'Самопроверка по школам'!$J$2:$J$259,"п.л.")</f>
        <v>2</v>
      </c>
      <c r="E4" s="17">
        <f>COUNTIFS('Самопроверка по школам'!$D$2:$D$259,"СШ №2г.Сенно",'Самопроверка по школам'!$E$2:$E$259,"Русский язык и литература",'Самопроверка по школам'!$J$2:$J$259,"п.л.")</f>
        <v>2</v>
      </c>
      <c r="F4" s="17">
        <f>COUNTIFS('Самопроверка по школам'!$J$2:$J$259,"п.л.",'Самопроверка по школам'!$E$2:$E$259,"Английский язык",'Самопроверка по школам'!$D$2:$D$259,"СШ №2г.Сенно")</f>
        <v>2</v>
      </c>
      <c r="G4" s="17">
        <f>COUNTIFS('Самопроверка по школам'!$J$2:$J$259,"п.л.",'Самопроверка по школам'!$E$2:$E$259,"нем.яз",'Самопроверка по школам'!$D$2:$D$259,"СШ №2г.Сенно")</f>
        <v>0</v>
      </c>
      <c r="H4" s="17">
        <f>COUNTIFS('Самопроверка по школам'!$D$2:$D$259,"СШ №2г.Сенно",'Самопроверка по школам'!$E$2:$E$259,"математика",'Самопроверка по школам'!$J$2:$J$259,"п.л.")</f>
        <v>1</v>
      </c>
      <c r="I4" s="17">
        <f>COUNTIFS('Самопроверка по школам'!$D$2:$D$259,"СШ №2г.Сенно",'Самопроверка по школам'!$E$2:$E$259,"информатика",'Самопроверка по школам'!$J$2:$J$259,"п.л.")</f>
        <v>0</v>
      </c>
      <c r="J4" s="17">
        <f>COUNTIFS('Самопроверка по школам'!$D$2:$D$259,"СШ №2г.Сенно",'Самопроверка по школам'!$E$2:$E$259,"история",'Самопроверка по школам'!$J$2:$J$259,"п.л.")</f>
        <v>0</v>
      </c>
      <c r="K4" s="17">
        <f>COUNTIFS('Самопроверка по школам'!$D$2:$D$259,"СШ №2г.Сенно",'Самопроверка по школам'!$E$2:$E$259,"обществоведение",'Самопроверка по школам'!$J$2:$J$259,"п.л.")</f>
        <v>1</v>
      </c>
      <c r="L4" s="17">
        <f>COUNTIFS('Самопроверка по школам'!$D$2:$D$259,"СШ №2г.Сенно",'Самопроверка по школам'!$E$2:$E$259,"география",'Самопроверка по школам'!$J$2:$J$259,"п.л.")</f>
        <v>1</v>
      </c>
      <c r="M4" s="17">
        <f>COUNTIFS('Самопроверка по школам'!$J$2:$J$259,"п.л.",'Самопроверка по школам'!$E$2:$E$259,"Биология",'Самопроверка по школам'!$D$2:$D$259,"СШ №2г.Сенно")</f>
        <v>0</v>
      </c>
      <c r="N4" s="17">
        <f>COUNTIFS('Самопроверка по школам'!$D$2:$D$259,"СШ №2г.Сенно",'Самопроверка по школам'!$E$2:$E$259,"физика",'Самопроверка по школам'!$J$2:$J$259,"п.л.")</f>
        <v>0</v>
      </c>
      <c r="O4" s="17">
        <f>COUNTIFS('Самопроверка по школам'!$J$2:$J$259,"п.л.",'Самопроверка по школам'!$E$2:$E$259,"астрономия",'Самопроверка по школам'!$D$2:$D$259,"СШ №2г.Сенно")</f>
        <v>0</v>
      </c>
      <c r="P4" s="17">
        <f>COUNTIFS('Самопроверка по школам'!$J$2:$J$259,"п.л.",'Самопроверка по школам'!$E$2:$E$259,"химия",'Самопроверка по школам'!$D$2:$D$259,"СШ №2г.Сенно")</f>
        <v>0</v>
      </c>
      <c r="Q4" s="17">
        <f>COUNTIFS('Самопроверка по школам'!$J$2:$J$259,"п.л.",'Самопроверка по школам'!$E$2:$E$259,"Трудовое обучение",'Самопроверка по школам'!$D$2:$D$259,"СШ №2г.Сенно")</f>
        <v>1</v>
      </c>
      <c r="R4" s="17">
        <f>COUNTIFS('Самопроверка по школам'!$J$2:$J$259,"п.л.",'Самопроверка по школам'!$E$2:$E$259,"физическая культура и здоровье",'Самопроверка по школам'!$D$2:$D$259,"СШ №2г.Сенно")</f>
        <v>4</v>
      </c>
      <c r="S4" s="46"/>
      <c r="U4" s="46"/>
    </row>
    <row r="5" spans="1:21" ht="18.75" hidden="1" x14ac:dyDescent="0.25">
      <c r="A5" s="6">
        <v>3</v>
      </c>
      <c r="B5" s="9"/>
      <c r="C5" s="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46"/>
      <c r="U5" s="46"/>
    </row>
    <row r="6" spans="1:21" ht="18.75" x14ac:dyDescent="0.25">
      <c r="A6" s="6">
        <v>3</v>
      </c>
      <c r="B6" s="9" t="s">
        <v>253</v>
      </c>
      <c r="C6" s="6">
        <f>COUNTIFS('Самопроверка по школам'!J2:J259,"п.л.",'Самопроверка по школам'!D2:D259,"Богушевская СШ")</f>
        <v>3</v>
      </c>
      <c r="D6" s="17">
        <f>COUNTIFS('Самопроверка по школам'!$D$2:$D$259,"Богушевская СШ",'Самопроверка по школам'!$E$2:$E$259,"бел.яз и лит.",'Самопроверка по школам'!$J$2:$J$259,"п.л.")</f>
        <v>0</v>
      </c>
      <c r="E6" s="17">
        <f>COUNTIFS('Самопроверка по школам'!$D$2:$D$259,"Богушевская СШ",'Самопроверка по школам'!$E$2:$E$259,"Русский язык и литература",'Самопроверка по школам'!$J$2:$J$259,"п.л.")</f>
        <v>1</v>
      </c>
      <c r="F6" s="17">
        <f>COUNTIFS('Самопроверка по школам'!$J$2:$J$259,"п.л.",'Самопроверка по школам'!$E$2:$E$259,"Английский язык",'Самопроверка по школам'!$D$2:$D$259,"Богушевская СШ")</f>
        <v>0</v>
      </c>
      <c r="G6" s="17">
        <f>COUNTIFS('Самопроверка по школам'!$J$2:$J$259,"п.л.",'Самопроверка по школам'!$E$2:$E$259,"нем.яз",'Самопроверка по школам'!$D$2:$D$259,"Богушевская СШ")</f>
        <v>0</v>
      </c>
      <c r="H6" s="17">
        <f>COUNTIFS('Самопроверка по школам'!$D$2:$D$259,"Богушевская СШ",'Самопроверка по школам'!$E$2:$E$259,"математика",'Самопроверка по школам'!$J$2:$J$259,"п.л.")</f>
        <v>1</v>
      </c>
      <c r="I6" s="17">
        <f>COUNTIFS('Самопроверка по школам'!$D$2:$D$259,"Богушевская СШ",'Самопроверка по школам'!$E$2:$E$259,"информатика",'Самопроверка по школам'!$J$2:$J$259,"п.л.")</f>
        <v>0</v>
      </c>
      <c r="J6" s="17">
        <f>COUNTIFS('Самопроверка по школам'!$D$2:$D$259,"Богушевская СШ",'Самопроверка по школам'!$E$2:$E$259,"история",'Самопроверка по школам'!$J$2:$J$259,"п.л.")</f>
        <v>0</v>
      </c>
      <c r="K6" s="17">
        <f>COUNTIFS('Самопроверка по школам'!$D$2:$D$259,"Богушевская СШ",'Самопроверка по школам'!$E$2:$E$259,"обществоведение",'Самопроверка по школам'!$J$2:$J$259,"п.л.")</f>
        <v>0</v>
      </c>
      <c r="L6" s="17">
        <f>COUNTIFS('Самопроверка по школам'!$D$2:$D$259,"Богушевская СШ",'Самопроверка по школам'!$E$2:$E$259,"география",'Самопроверка по школам'!$J$2:$J$259,"п.л.")</f>
        <v>0</v>
      </c>
      <c r="M6" s="17">
        <f>COUNTIFS('Самопроверка по школам'!$J$2:$J$259,"п.л.",'Самопроверка по школам'!$E$2:$E$259,"Биология",'Самопроверка по школам'!$D$2:$D$259,"Богушевская СШ")</f>
        <v>0</v>
      </c>
      <c r="N6" s="17">
        <f>COUNTIFS('Самопроверка по школам'!$D$2:$D$259,"Богушевская СШ",'Самопроверка по школам'!$E$2:$E$259,"физика",'Самопроверка по школам'!$J$2:$J$259,"п.л.")</f>
        <v>0</v>
      </c>
      <c r="O6" s="17">
        <f>COUNTIFS('Самопроверка по школам'!$J$2:$J$259,"п.л.",'Самопроверка по школам'!$E$2:$E$259,"астрономия",'Самопроверка по школам'!$D$2:$D$259,"Богушевская СШ")</f>
        <v>0</v>
      </c>
      <c r="P6" s="17">
        <f>COUNTIFS('Самопроверка по школам'!$J$2:$J$259,"п.л.",'Самопроверка по школам'!$E$2:$E$259,"химия",'Самопроверка по школам'!$D$2:$D$259,"Богушевская СШ")</f>
        <v>0</v>
      </c>
      <c r="Q6" s="17">
        <f>COUNTIFS('Самопроверка по школам'!$J$2:$J$259,"п.л.",'Самопроверка по школам'!$E$2:$E$259,"Трудовое обучение",'Самопроверка по школам'!$D$2:$D$259,"Богушевская СШ")</f>
        <v>0</v>
      </c>
      <c r="R6" s="17">
        <f>COUNTIFS('Самопроверка по школам'!$J$2:$J$259,"п.л.",'Самопроверка по школам'!$E$2:$E$259,"физическая культура и здоровье",'Самопроверка по школам'!$D$2:$D$259,"Богушевская СШ")</f>
        <v>1</v>
      </c>
      <c r="S6" s="46"/>
      <c r="U6" s="46"/>
    </row>
    <row r="7" spans="1:21" ht="18.75" x14ac:dyDescent="0.25">
      <c r="A7" s="6">
        <v>4</v>
      </c>
      <c r="B7" s="10" t="s">
        <v>15</v>
      </c>
      <c r="C7" s="6">
        <f>COUNTIFS('Самопроверка по школам'!$J$2:$J$259,"п.л.",'Самопроверка по школам'!$D$2:$D$259,"Белицкая ДССШ")</f>
        <v>3</v>
      </c>
      <c r="D7" s="17">
        <f>COUNTIFS('Самопроверка по школам'!$D$2:$D$259,"Белицкая ДССШ",'Самопроверка по школам'!$E$2:$E$259,"бел.яз и лит.",'Самопроверка по школам'!$J$2:$J$259,"п.л.")</f>
        <v>0</v>
      </c>
      <c r="E7" s="17">
        <f>COUNTIFS('Самопроверка по школам'!$D$2:$D$259,"Белицкая ДССШ",'Самопроверка по школам'!$E$2:$E$259,"Русский язык и литература",'Самопроверка по школам'!$J$2:$J$259,"п.л.")</f>
        <v>0</v>
      </c>
      <c r="F7" s="17">
        <f>COUNTIFS('Самопроверка по школам'!$J$2:$J$259,"п.л.",'Самопроверка по школам'!$E$2:$E$259,"Английский язык",'Самопроверка по школам'!$D$2:$D$259,"Белицкая ДССШ")</f>
        <v>0</v>
      </c>
      <c r="G7" s="17">
        <f>COUNTIFS('Самопроверка по школам'!$J$2:$J$259,"п.л.",'Самопроверка по школам'!$E$2:$E$259,"нем.яз",'Самопроверка по школам'!$D$2:$D$259,"Белицкая ДССШ")</f>
        <v>0</v>
      </c>
      <c r="H7" s="17">
        <f>COUNTIFS('Самопроверка по школам'!$D$2:$D$259,"Белицкая ДССШ",'Самопроверка по школам'!$E$2:$E$259,"математика",'Самопроверка по школам'!$J$2:$J$259,"п.л.")</f>
        <v>0</v>
      </c>
      <c r="I7" s="17">
        <f>COUNTIFS('Самопроверка по школам'!$D$2:$D$259,"Белицкая ДССШ",'Самопроверка по школам'!$E$2:$E$259,"информатика",'Самопроверка по школам'!$J$2:$J$259,"п.л.")</f>
        <v>1</v>
      </c>
      <c r="J7" s="17">
        <f>COUNTIFS('Самопроверка по школам'!$D$2:$D$259,"Белицкая ДССШ",'Самопроверка по школам'!$E$2:$E$259,"история",'Самопроверка по школам'!$J$2:$J$259,"п.л.")</f>
        <v>0</v>
      </c>
      <c r="K7" s="17">
        <f>COUNTIFS('Самопроверка по школам'!$D$2:$D$259,"Белицкая ДССШ",'Самопроверка по школам'!$E$2:$E$259,"обществоведение",'Самопроверка по школам'!$J$2:$J$259,"п.л.")</f>
        <v>0</v>
      </c>
      <c r="L7" s="17">
        <f>COUNTIFS('Самопроверка по школам'!$D$2:$D$259,"Белицкая ДССШ",'Самопроверка по школам'!$E$2:$E$259,"география",'Самопроверка по школам'!$J$2:$J$259,"п.л.")</f>
        <v>0</v>
      </c>
      <c r="M7" s="17">
        <f>COUNTIFS('Самопроверка по школам'!$J$2:$J$259,"п.л.",'Самопроверка по школам'!$E$2:$E$259,"Биология",'Самопроверка по школам'!$D$2:$D$259,"Белицкая ДССШ")</f>
        <v>1</v>
      </c>
      <c r="N7" s="17">
        <f>COUNTIFS('Самопроверка по школам'!$D$2:$D$259,"Белицкая ДССШ",'Самопроверка по школам'!$E$2:$E$259,"физика",'Самопроверка по школам'!$J$2:$J$259,"п.л.")</f>
        <v>0</v>
      </c>
      <c r="O7" s="17">
        <f>COUNTIFS('Самопроверка по школам'!$J$2:$J$259,"п.л.",'Самопроверка по школам'!$E$2:$E$259,"астрономия",'Самопроверка по школам'!$D$2:$D$259,"Белицкая ДССШ")</f>
        <v>0</v>
      </c>
      <c r="P7" s="17">
        <f>COUNTIFS('Самопроверка по школам'!$J$2:$J$259,"п.л.",'Самопроверка по школам'!$E$2:$E$259,"химия",'Самопроверка по школам'!$D$2:$D$259,"Белицкая ДССШ")</f>
        <v>0</v>
      </c>
      <c r="Q7" s="17">
        <f>COUNTIFS('Самопроверка по школам'!$J$2:$J$259,"п.л.",'Самопроверка по школам'!$E$2:$E$259,"Трудовое обучение",'Самопроверка по школам'!$D$2:$D$259,"Белицкая ДССШ")</f>
        <v>0</v>
      </c>
      <c r="R7" s="17">
        <f>COUNTIFS('Самопроверка по школам'!$J$2:$J$259,"п.л.",'Самопроверка по школам'!$E$2:$E$259,"физическая культура и здоровье",'Самопроверка по школам'!$D$2:$D$259,"Белицкая ДССШ")</f>
        <v>1</v>
      </c>
      <c r="S7" s="46"/>
      <c r="U7" s="46"/>
    </row>
    <row r="8" spans="1:21" ht="18.75" hidden="1" x14ac:dyDescent="0.25">
      <c r="A8" s="6">
        <v>5</v>
      </c>
      <c r="B8" s="9" t="s">
        <v>11</v>
      </c>
      <c r="C8" s="6">
        <f>COUNTIFS('Самопроверка по школам'!$J$2:$J$259,"п.л.",'Самопроверка по школам'!$D$2:$D$259,"Богдановская СШ")</f>
        <v>0</v>
      </c>
      <c r="D8" s="17">
        <f>COUNTIFS('Самопроверка по школам'!$D$2:$D$259,"Богдановская СШ",'Самопроверка по школам'!$E$2:$E$259,"бел.яз и лит.",'Самопроверка по школам'!$J$2:$J$259,"п.л.")</f>
        <v>0</v>
      </c>
      <c r="E8" s="17">
        <f>COUNTIFS('Самопроверка по школам'!$D$2:$D$259,"Богдановская СШ",'Самопроверка по школам'!$E$2:$E$259,"Русский язык и литература",'Самопроверка по школам'!$J$2:$J$259,"п.л.")</f>
        <v>0</v>
      </c>
      <c r="F8" s="17">
        <f>COUNTIFS('Самопроверка по школам'!$J$2:$J$259,"п.л.",'Самопроверка по школам'!$E$2:$E$259,"Английский язык",'Самопроверка по школам'!$D$2:$D$259,"Богдановская СШ")</f>
        <v>0</v>
      </c>
      <c r="G8" s="17">
        <f>COUNTIFS('Самопроверка по школам'!$J$2:$J$259,"п.л.",'Самопроверка по школам'!$E$2:$E$259,"нем.яз",'Самопроверка по школам'!$D$2:$D$259,"Богдановская СШ")</f>
        <v>0</v>
      </c>
      <c r="H8" s="17">
        <f>COUNTIFS('Самопроверка по школам'!$D$2:$D$259,"Богдановская СШ",'Самопроверка по школам'!$E$2:$E$259,"математика",'Самопроверка по школам'!$J$2:$J$259,"п.л.")</f>
        <v>0</v>
      </c>
      <c r="I8" s="17">
        <f>COUNTIFS('Самопроверка по школам'!$D$2:$D$259,"Богдановская СШ",'Самопроверка по школам'!$E$2:$E$259,"информатика",'Самопроверка по школам'!$J$2:$J$259,"п.л.")</f>
        <v>0</v>
      </c>
      <c r="J8" s="17">
        <f>COUNTIFS('Самопроверка по школам'!$D$2:$D$259,"Богдановская СШ",'Самопроверка по школам'!$E$2:$E$259,"история",'Самопроверка по школам'!$J$2:$J$259,"п.л.")</f>
        <v>0</v>
      </c>
      <c r="K8" s="17">
        <f>COUNTIFS('Самопроверка по школам'!$D$2:$D$259,"Богдановская СШ",'Самопроверка по школам'!$E$2:$E$259,"обществоведение",'Самопроверка по школам'!$J$2:$J$259,"п.л.")</f>
        <v>0</v>
      </c>
      <c r="L8" s="17">
        <f>COUNTIFS('Самопроверка по школам'!$D$2:$D$259,"Богдановская СШ",'Самопроверка по школам'!$E$2:$E$259,"география",'Самопроверка по школам'!$J$2:$J$259,"п.л.")</f>
        <v>0</v>
      </c>
      <c r="M8" s="17">
        <f>COUNTIFS('Самопроверка по школам'!$J$2:$J$259,"п.л.",'Самопроверка по школам'!$E$2:$E$259,"Биология",'Самопроверка по школам'!$D$2:$D$259,"Богдановская СШ")</f>
        <v>0</v>
      </c>
      <c r="N8" s="17">
        <f>COUNTIFS('Самопроверка по школам'!$D$2:$D$259,"Богдановская СШ",'Самопроверка по школам'!$E$2:$E$259,"физика",'Самопроверка по школам'!$J$2:$J$259,"п.л.")</f>
        <v>0</v>
      </c>
      <c r="O8" s="17">
        <f>COUNTIFS('Самопроверка по школам'!$J$2:$J$259,"п.л.",'Самопроверка по школам'!$E$2:$E$259,"астрономия",'Самопроверка по школам'!$D$2:$D$259,"Богдановская СШ")</f>
        <v>0</v>
      </c>
      <c r="P8" s="17">
        <f>COUNTIFS('Самопроверка по школам'!$J$2:$J$259,"п.л.",'Самопроверка по школам'!$E$2:$E$259,"химия",'Самопроверка по школам'!$D$2:$D$259,"Богдановская СШ")</f>
        <v>0</v>
      </c>
      <c r="Q8" s="17">
        <f>COUNTIFS('Самопроверка по школам'!$J$2:$J$259,"п.л.",'Самопроверка по школам'!$E$2:$E$259,"Трудовое обучение",'Самопроверка по школам'!$D$2:$D$259,"Богдановская СШ")</f>
        <v>0</v>
      </c>
      <c r="R8" s="17">
        <f>COUNTIFS('Самопроверка по школам'!$J$2:$J$259,"п.л.",'Самопроверка по школам'!$E$2:$E$259,"физическая культура и здоровье",'Самопроверка по школам'!$D$2:$D$259,"Богдановская СШ")</f>
        <v>0</v>
      </c>
      <c r="S8" s="46"/>
      <c r="U8" s="46"/>
    </row>
    <row r="9" spans="1:21" ht="18.75" x14ac:dyDescent="0.25">
      <c r="A9" s="6">
        <v>5</v>
      </c>
      <c r="B9" s="9" t="s">
        <v>16</v>
      </c>
      <c r="C9" s="6">
        <f>COUNTIFS('Самопроверка по школам'!$J$2:$J$259,"п.л.",'Самопроверка по школам'!$D$2:$D$259,"Коковчинская ДССШ")</f>
        <v>0</v>
      </c>
      <c r="D9" s="17">
        <f>COUNTIFS('Самопроверка по школам'!$D$2:$D$259,"Коковчинская ДССШ",'Самопроверка по школам'!$E$2:$E$259,"бел.яз и лит.",'Самопроверка по школам'!$J$2:$J$259,"п.л.")</f>
        <v>0</v>
      </c>
      <c r="E9" s="17">
        <f>COUNTIFS('Самопроверка по школам'!$D$2:$D$259,"Коковчинская ДССШ",'Самопроверка по школам'!$E$2:$E$259,"Русский язык и литература",'Самопроверка по школам'!$J$2:$J$259,"п.л.")</f>
        <v>0</v>
      </c>
      <c r="F9" s="17">
        <f>COUNTIFS('Самопроверка по школам'!$J$2:$J$259,"п.л.",'Самопроверка по школам'!$E$2:$E$259,"Английский язык",'Самопроверка по школам'!$D$2:$D$259,"Коковчинская ДССШ")</f>
        <v>0</v>
      </c>
      <c r="G9" s="17">
        <f>COUNTIFS('Самопроверка по школам'!$J$2:$J$259,"п.л.",'Самопроверка по школам'!$E$2:$E$259,"нем.яз",'Самопроверка по школам'!$D$2:$D$259,"Коковчинская ДССШ")</f>
        <v>0</v>
      </c>
      <c r="H9" s="17">
        <f>COUNTIFS('Самопроверка по школам'!$D$2:$D$259,"Коковчинская ДССШ",'Самопроверка по школам'!$E$2:$E$259,"математика",'Самопроверка по школам'!$J$2:$J$259,"п.л.")</f>
        <v>0</v>
      </c>
      <c r="I9" s="17">
        <f>COUNTIFS('Самопроверка по школам'!$D$2:$D$259,"Коковчинская ДССШ",'Самопроверка по школам'!$E$2:$E$259,"информатика",'Самопроверка по школам'!$J$2:$J$259,"п.л.")</f>
        <v>0</v>
      </c>
      <c r="J9" s="17">
        <f>COUNTIFS('Самопроверка по школам'!$D$2:$D$259,"Коковчинская ДССШ",'Самопроверка по школам'!$E$2:$E$259,"история",'Самопроверка по школам'!$J$2:$J$259,"п.л.")</f>
        <v>0</v>
      </c>
      <c r="K9" s="17">
        <f>COUNTIFS('Самопроверка по школам'!$D$2:$D$259,"Коковчинская ДССШ",'Самопроверка по школам'!$E$2:$E$259,"обществоведение",'Самопроверка по школам'!$J$2:$J$259,"п.л.")</f>
        <v>0</v>
      </c>
      <c r="L9" s="17">
        <f>COUNTIFS('Самопроверка по школам'!$D$2:$D$259,"Коковчинская ДССШ",'Самопроверка по школам'!$E$2:$E$259,"география",'Самопроверка по школам'!$J$2:$J$259,"п.л.")</f>
        <v>0</v>
      </c>
      <c r="M9" s="17">
        <f>COUNTIFS('Самопроверка по школам'!$J$2:$J$259,"п.л.",'Самопроверка по школам'!$E$2:$E$259,"Биология",'Самопроверка по школам'!$D$2:$D$259,"Коковчинская ДССШ")</f>
        <v>0</v>
      </c>
      <c r="N9" s="17">
        <f>COUNTIFS('Самопроверка по школам'!$D$2:$D$259,"Коковчинская ДССШ",'Самопроверка по школам'!$E$2:$E$259,"физика",'Самопроверка по школам'!$J$2:$J$259,"п.л.")</f>
        <v>0</v>
      </c>
      <c r="O9" s="17">
        <f>COUNTIFS('Самопроверка по школам'!$J$2:$J$259,"п.л.",'Самопроверка по школам'!$E$2:$E$259,"астрономия",'Самопроверка по школам'!$D$2:$D$259,"Коковчинская ДССШ")</f>
        <v>0</v>
      </c>
      <c r="P9" s="17">
        <f>COUNTIFS('Самопроверка по школам'!$J$2:$J$259,"п.л.",'Самопроверка по школам'!$E$2:$E$259,"химия",'Самопроверка по школам'!$D$2:$D$259,"Коковчинская ДССШ")</f>
        <v>0</v>
      </c>
      <c r="Q9" s="17">
        <f>COUNTIFS('Самопроверка по школам'!$J$2:$J$259,"п.л.",'Самопроверка по школам'!$E$2:$E$259,"Трудовое обучение",'Самопроверка по школам'!$D$2:$D$259,"Коковчинская ДССШ")</f>
        <v>0</v>
      </c>
      <c r="R9" s="17">
        <f>COUNTIFS('Самопроверка по школам'!$J$2:$J$259,"п.л.",'Самопроверка по школам'!$E$2:$E$259,"физическая культура и здоровье",'Самопроверка по школам'!$D$2:$D$259,"Коковчинская ДССШ")</f>
        <v>0</v>
      </c>
      <c r="S9" s="46"/>
      <c r="U9" s="46"/>
    </row>
    <row r="10" spans="1:21" ht="18.75" x14ac:dyDescent="0.25">
      <c r="A10" s="6">
        <v>6</v>
      </c>
      <c r="B10" s="9" t="s">
        <v>14</v>
      </c>
      <c r="C10" s="6">
        <f>COUNTIFS('Самопроверка по школам'!$J$2:$J$259,"п.л.",'Самопроверка по школам'!$D$2:$D$259,"Мошканская ДССШ")</f>
        <v>8</v>
      </c>
      <c r="D10" s="17">
        <f>COUNTIFS('Самопроверка по школам'!$D$2:$D$259,"Мошканская ДССШ",'Самопроверка по школам'!$E$2:$E$259,"бел.яз и лит.",'Самопроверка по школам'!$J$2:$J$259,"п.л.")</f>
        <v>0</v>
      </c>
      <c r="E10" s="17">
        <f>COUNTIFS('Самопроверка по школам'!$D$2:$D$259,"Мошканская ДССШ",'Самопроверка по школам'!$E$2:$E$259,"Русский язык и литература",'Самопроверка по школам'!$J$2:$J$259,"п.л.")</f>
        <v>1</v>
      </c>
      <c r="F10" s="17">
        <f>COUNTIFS('Самопроверка по школам'!$J$2:$J$259,"п.л.",'Самопроверка по школам'!$E$2:$E$259,"Английский язык",'Самопроверка по школам'!$D$2:$D$259,"Мошканская ДССШ")</f>
        <v>0</v>
      </c>
      <c r="G10" s="17">
        <f>COUNTIFS('Самопроверка по школам'!$J$2:$J$259,"п.л.",'Самопроверка по школам'!$E$2:$E$259,"нем.яз",'Самопроверка по школам'!$D$2:$D$259,"Мошканская ДССШ")</f>
        <v>0</v>
      </c>
      <c r="H10" s="17">
        <f>COUNTIFS('Самопроверка по школам'!$D$2:$D$259,"Мошканская ДССШ",'Самопроверка по школам'!$E$2:$E$259,"математика",'Самопроверка по школам'!$J$2:$J$259,"п.л.")</f>
        <v>0</v>
      </c>
      <c r="I10" s="17">
        <f>COUNTIFS('Самопроверка по школам'!$D$2:$D$259,"Мошканская ДССШ",'Самопроверка по школам'!$E$2:$E$259,"информатика",'Самопроверка по школам'!$J$2:$J$259,"п.л.")</f>
        <v>0</v>
      </c>
      <c r="J10" s="17">
        <f>COUNTIFS('Самопроверка по школам'!$D$2:$D$259,"Мошканская ДССШ",'Самопроверка по школам'!$E$2:$E$259,"история",'Самопроверка по школам'!$J$2:$J$259,"п.л.")</f>
        <v>2</v>
      </c>
      <c r="K10" s="17">
        <f>COUNTIFS('Самопроверка по школам'!$D$2:$D$259,"Мошканская ДССШ",'Самопроверка по школам'!$E$2:$E$259,"обществоведение",'Самопроверка по школам'!$J$2:$J$259,"п.л.")</f>
        <v>1</v>
      </c>
      <c r="L10" s="17">
        <f>COUNTIFS('Самопроверка по школам'!$D$2:$D$259,"Мошканская ДССШ",'Самопроверка по школам'!$E$2:$E$259,"география",'Самопроверка по школам'!$J$2:$J$259,"п.л.")</f>
        <v>1</v>
      </c>
      <c r="M10" s="17">
        <f>COUNTIFS('Самопроверка по школам'!$J$2:$J$259,"п.л.",'Самопроверка по школам'!$E$2:$E$259,"Биология",'Самопроверка по школам'!$D$2:$D$259,"Мошканская ДССШ")</f>
        <v>2</v>
      </c>
      <c r="N10" s="17">
        <f>COUNTIFS('Самопроверка по школам'!$D$2:$D$259,"Мошканская ДССШ",'Самопроверка по школам'!$E$2:$E$259,"физика",'Самопроверка по школам'!$J$2:$J$259,"п.л.")</f>
        <v>0</v>
      </c>
      <c r="O10" s="17">
        <f>COUNTIFS('Самопроверка по школам'!$J$2:$J$259,"п.л.",'Самопроверка по школам'!$E$2:$E$259,"астрономия",'Самопроверка по школам'!$D$2:$D$259,"Мошканская ДССШ")</f>
        <v>0</v>
      </c>
      <c r="P10" s="17">
        <f>COUNTIFS('Самопроверка по школам'!$J$2:$J$259,"п.л.",'Самопроверка по школам'!$E$2:$E$259,"химия",'Самопроверка по школам'!$D$2:$D$259,"Мошканская ДССШ")</f>
        <v>0</v>
      </c>
      <c r="Q10" s="17">
        <f>COUNTIFS('Самопроверка по школам'!$J$2:$J$259,"п.л.",'Самопроверка по школам'!$E$2:$E$259,"Трудовое обучение",'Самопроверка по школам'!$D$2:$D$259,"Мошканская ДССШ")</f>
        <v>0</v>
      </c>
      <c r="R10" s="17">
        <f>COUNTIFS('Самопроверка по школам'!$J$2:$J$259,"п.л.",'Самопроверка по школам'!$E$2:$E$259,"физическая культура и здоровье",'Самопроверка по школам'!$D$2:$D$259,"Мошканская ДССШ")</f>
        <v>1</v>
      </c>
      <c r="S10" s="46"/>
      <c r="U10" s="46"/>
    </row>
    <row r="11" spans="1:21" ht="18.75" hidden="1" x14ac:dyDescent="0.25">
      <c r="A11" s="6">
        <v>9</v>
      </c>
      <c r="B11" s="9"/>
      <c r="C11" s="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6"/>
      <c r="U11" s="46"/>
    </row>
    <row r="12" spans="1:21" ht="18.75" x14ac:dyDescent="0.25">
      <c r="A12" s="6">
        <v>7</v>
      </c>
      <c r="B12" s="9" t="s">
        <v>12</v>
      </c>
      <c r="C12" s="6">
        <f>COUNTIFS('Самопроверка по школам'!$J$2:$J$259,"п.л.",'Самопроверка по школам'!$D$2:$D$259,"Студёнковская ДССШ")</f>
        <v>3</v>
      </c>
      <c r="D12" s="17">
        <f>COUNTIFS('Самопроверка по школам'!$D$2:$D$259,"Студёнковская ДССШ",'Самопроверка по школам'!$E$2:$E$259,"бел.яз и лит.",'Самопроверка по школам'!$J$2:$J$259,"п.л.")</f>
        <v>1</v>
      </c>
      <c r="E12" s="17">
        <f>COUNTIFS('Самопроверка по школам'!$D$2:$D$259,"Студёнковская ДССШ",'Самопроверка по школам'!$E$2:$E$259,"Русский язык и литература",'Самопроверка по школам'!$J$2:$J$259,"п.л.")</f>
        <v>0</v>
      </c>
      <c r="F12" s="17">
        <f>COUNTIFS('Самопроверка по школам'!$J$2:$J$259,"п.л.",'Самопроверка по школам'!$E$2:$E$259,"Английский язык",'Самопроверка по школам'!$D$2:$D$259,"Студёнковская ДССШ")</f>
        <v>0</v>
      </c>
      <c r="G12" s="17">
        <f>COUNTIFS('Самопроверка по школам'!$J$2:$J$259,"п.л.",'Самопроверка по школам'!$E$2:$E$259,"нем.яз",'Самопроверка по школам'!$D$2:$D$259,"Студёнковская ДССШ")</f>
        <v>0</v>
      </c>
      <c r="H12" s="17">
        <f>COUNTIFS('Самопроверка по школам'!$D$2:$D$259,"Студёнковская ДССШ",'Самопроверка по школам'!$E$2:$E$259,"математика",'Самопроверка по школам'!$J$2:$J$259,"п.л.")</f>
        <v>0</v>
      </c>
      <c r="I12" s="17">
        <f>COUNTIFS('Самопроверка по школам'!$D$2:$D$259,"Студёнковская ДССШ",'Самопроверка по школам'!$E$2:$E$259,"информатика",'Самопроверка по школам'!$J$2:$J$259,"п.л.")</f>
        <v>0</v>
      </c>
      <c r="J12" s="17">
        <f>COUNTIFS('Самопроверка по школам'!$D$2:$D$259,"Студёнковская ДССШ",'Самопроверка по школам'!$E$2:$E$259,"история",'Самопроверка по школам'!$J$2:$J$259,"п.л.")</f>
        <v>0</v>
      </c>
      <c r="K12" s="17">
        <f>COUNTIFS('Самопроверка по школам'!$D$2:$D$259,"Студёнковская ДССШ",'Самопроверка по школам'!$E$2:$E$259,"обществоведение",'Самопроверка по школам'!$J$2:$J$259,"п.л.")</f>
        <v>0</v>
      </c>
      <c r="L12" s="17">
        <f>COUNTIFS('Самопроверка по школам'!$D$2:$D$259,"Студёнковская ДССШ",'Самопроверка по школам'!$E$2:$E$259,"география",'Самопроверка по школам'!$J$2:$J$259,"п.л.")</f>
        <v>0</v>
      </c>
      <c r="M12" s="17">
        <f>COUNTIFS('Самопроверка по школам'!$J$2:$J$259,"п.л.",'Самопроверка по школам'!$E$2:$E$259,"Биология",'Самопроверка по школам'!$D$2:$D$259,"Студёнковская ДССШ")</f>
        <v>0</v>
      </c>
      <c r="N12" s="17">
        <f>COUNTIFS('Самопроверка по школам'!$D$2:$D$259,"Студёнковская ДССШ",'Самопроверка по школам'!$E$2:$E$259,"физика",'Самопроверка по школам'!$J$2:$J$259,"п.л.")</f>
        <v>0</v>
      </c>
      <c r="O12" s="17">
        <f>COUNTIFS('Самопроверка по школам'!$J$2:$J$259,"п.л.",'Самопроверка по школам'!$E$2:$E$259,"астрономия",'Самопроверка по школам'!$D$2:$D$259,"Студёнковская ДССШ")</f>
        <v>0</v>
      </c>
      <c r="P12" s="17">
        <f>COUNTIFS('Самопроверка по школам'!$J$2:$J$259,"п.л.",'Самопроверка по школам'!$E$2:$E$259,"химия",'Самопроверка по школам'!$D$2:$D$259,"Студёнковская ДССШ")</f>
        <v>0</v>
      </c>
      <c r="Q12" s="17">
        <f>COUNTIFS('Самопроверка по школам'!$J$2:$J$259,"п.л.",'Самопроверка по школам'!$E$2:$E$259,"Трудовое обучение",'Самопроверка по школам'!$D$2:$D$259,"Студёнковская ДССШ")</f>
        <v>1</v>
      </c>
      <c r="R12" s="17">
        <f>COUNTIFS('Самопроверка по школам'!$J$2:$J$259,"п.л.",'Самопроверка по школам'!$E$2:$E$259,"физическая культура и здоровье",'Самопроверка по школам'!$D$2:$D$259,"Студёнковская ДССШ")</f>
        <v>1</v>
      </c>
      <c r="S12" s="46"/>
      <c r="U12" s="46"/>
    </row>
    <row r="13" spans="1:21" ht="18.75" x14ac:dyDescent="0.25">
      <c r="A13" s="6">
        <v>8</v>
      </c>
      <c r="B13" s="12" t="s">
        <v>147</v>
      </c>
      <c r="C13" s="6">
        <f>COUNTIFS('Самопроверка по школам'!$J$2:$J$259,"п.л.",'Самопроверка по школам'!$D$2:$D$259,"Ходцевская ДССШ")</f>
        <v>1</v>
      </c>
      <c r="D13" s="17">
        <f>COUNTIFS('Самопроверка по школам'!$D$2:$D$259,"Ходцевская ДССШ",'Самопроверка по школам'!$E$2:$E$259,"бел.яз и лит.",'Самопроверка по школам'!$J$2:$J$259,"п.л.")</f>
        <v>1</v>
      </c>
      <c r="E13" s="17">
        <f>COUNTIFS('Самопроверка по школам'!$D$2:$D$259,"Ходцевская ДССШ",'Самопроверка по школам'!$E$2:$E$259,"Русский язык и литература",'Самопроверка по школам'!$J$2:$J$259,"п.л.")</f>
        <v>0</v>
      </c>
      <c r="F13" s="17">
        <f>COUNTIFS('Самопроверка по школам'!$J$2:$J$259,"п.л.",'Самопроверка по школам'!$E$2:$E$259,"Английский язык",'Самопроверка по школам'!$D$2:$D$259,"Ходцевская ДССШ")</f>
        <v>0</v>
      </c>
      <c r="G13" s="17">
        <f>COUNTIFS('Самопроверка по школам'!$J$2:$J$259,"п.л.",'Самопроверка по школам'!$E$2:$E$259,"нем.яз",'Самопроверка по школам'!$D$2:$D$259,"Ходцевская ДССШ")</f>
        <v>0</v>
      </c>
      <c r="H13" s="17">
        <f>COUNTIFS('Самопроверка по школам'!$D$2:$D$259,"Ходцевская ДССШ",'Самопроверка по школам'!$E$2:$E$259,"математика",'Самопроверка по школам'!$J$2:$J$259,"п.л.")</f>
        <v>0</v>
      </c>
      <c r="I13" s="17">
        <f>COUNTIFS('Самопроверка по школам'!$D$2:$D$259,"Ходцевская ДССШ",'Самопроверка по школам'!$E$2:$E$259,"информатика",'Самопроверка по школам'!$J$2:$J$259,"п.л.")</f>
        <v>0</v>
      </c>
      <c r="J13" s="17">
        <f>COUNTIFS('Самопроверка по школам'!$D$2:$D$259,"Ходцевская ДССШ",'Самопроверка по школам'!$E$2:$E$259,"история",'Самопроверка по школам'!$J$2:$J$259,"п.л.")</f>
        <v>0</v>
      </c>
      <c r="K13" s="17">
        <f>COUNTIFS('Самопроверка по школам'!$D$2:$D$259,"Ходцевская ДССШ",'Самопроверка по школам'!$E$2:$E$259,"обществоведение",'Самопроверка по школам'!$J$2:$J$259,"п.л.")</f>
        <v>0</v>
      </c>
      <c r="L13" s="17">
        <f>COUNTIFS('Самопроверка по школам'!$D$2:$D$259,"Ходцевская ДССШ",'Самопроверка по школам'!$E$2:$E$259,"география",'Самопроверка по школам'!$J$2:$J$259,"п.л.")</f>
        <v>0</v>
      </c>
      <c r="M13" s="17">
        <f>COUNTIFS('Самопроверка по школам'!$J$2:$J$259,"п.л.",'Самопроверка по школам'!$E$2:$E$259,"Биология",'Самопроверка по школам'!$D$2:$D$259,"Ходцевская ДССШ")</f>
        <v>0</v>
      </c>
      <c r="N13" s="17">
        <f>COUNTIFS('Самопроверка по школам'!$D$2:$D$259,"Ходцевская ДССШ",'Самопроверка по школам'!$E$2:$E$259,"физика",'Самопроверка по школам'!$J$2:$J$259,"п.л.")</f>
        <v>0</v>
      </c>
      <c r="O13" s="17">
        <f>COUNTIFS('Самопроверка по школам'!$J$2:$J$259,"п.л.",'Самопроверка по школам'!$E$2:$E$259,"астрономия",'Самопроверка по школам'!$D$2:$D$259,"Ходцевская ДССШ")</f>
        <v>0</v>
      </c>
      <c r="P13" s="17">
        <f>COUNTIFS('Самопроверка по школам'!$J$2:$J$259,"п.л.",'Самопроверка по школам'!$E$2:$E$259,"химия",'Самопроверка по школам'!$D$2:$D$259,"Ходцевская ДССШ")</f>
        <v>0</v>
      </c>
      <c r="Q13" s="17">
        <f>COUNTIFS('Самопроверка по школам'!$J$2:$J$259,"п.л.",'Самопроверка по школам'!$E$2:$E$259,"Трудовое обучение",'Самопроверка по школам'!$D$2:$D$259,"Ходцевская ДССШ")</f>
        <v>0</v>
      </c>
      <c r="R13" s="17">
        <f>COUNTIFS('Самопроверка по школам'!$J$2:$J$259,"п.л.",'Самопроверка по школам'!$E$2:$E$259,"физическая культура и здоровье",'Самопроверка по школам'!$D$2:$D$259,"Ходцевская ДССШ")</f>
        <v>0</v>
      </c>
      <c r="S13" s="46"/>
      <c r="U13" s="46"/>
    </row>
    <row r="14" spans="1:21" ht="18.75" x14ac:dyDescent="0.25">
      <c r="A14" s="6">
        <v>9</v>
      </c>
      <c r="B14" s="9" t="s">
        <v>118</v>
      </c>
      <c r="C14" s="6">
        <f>COUNTIFS('Самопроверка по школам'!$J$2:$J$259,"п.л.",'Самопроверка по школам'!$D$2:$D$259,"Яновская ДСБШ")</f>
        <v>3</v>
      </c>
      <c r="D14" s="17">
        <f>COUNTIFS('Самопроверка по школам'!$D$2:$D$259,"Яновская ДСБШ",'Самопроверка по школам'!$E$2:$E$259,"бел.яз и лит.",'Самопроверка по школам'!$J$2:$J$259,"п.л.")</f>
        <v>1</v>
      </c>
      <c r="E14" s="17">
        <f>COUNTIFS('Самопроверка по школам'!$D$2:$D$259,"Яновская ДСБШ",'Самопроверка по школам'!$E$2:$E$259,"Русский язык и литература",'Самопроверка по школам'!$J$2:$J$259,"п.л.")</f>
        <v>1</v>
      </c>
      <c r="F14" s="17">
        <f>COUNTIFS('Самопроверка по школам'!$J$2:$J$259,"п.л.",'Самопроверка по школам'!$E$2:$E$259,"Английский язык",'Самопроверка по школам'!$D$2:$D$259,"Яновская ДСБШ")</f>
        <v>0</v>
      </c>
      <c r="G14" s="17">
        <f>COUNTIFS('Самопроверка по школам'!$J$2:$J$259,"п.л.",'Самопроверка по школам'!$E$2:$E$259,"нем.яз",'Самопроверка по школам'!$D$2:$D$259,"Яновская ДСБШ")</f>
        <v>0</v>
      </c>
      <c r="H14" s="17">
        <f>COUNTIFS('Самопроверка по школам'!$D$2:$D$259,"Яновская ДСБШ",'Самопроверка по школам'!$E$2:$E$259,"математика",'Самопроверка по школам'!$J$2:$J$259,"п.л.")</f>
        <v>0</v>
      </c>
      <c r="I14" s="17">
        <f>COUNTIFS('Самопроверка по школам'!$D$2:$D$259,"Яновская ДСБШ",'Самопроверка по школам'!$E$2:$E$259,"информатика",'Самопроверка по школам'!$J$2:$J$259,"п.л.")</f>
        <v>0</v>
      </c>
      <c r="J14" s="17">
        <f>COUNTIFS('Самопроверка по школам'!$D$2:$D$259,"Яновская ДСБШ",'Самопроверка по школам'!$E$2:$E$259,"история",'Самопроверка по школам'!$J$2:$J$259,"п.л.")</f>
        <v>0</v>
      </c>
      <c r="K14" s="17">
        <f>COUNTIFS('Самопроверка по школам'!$D$2:$D$259,"Яновская ДСБШ",'Самопроверка по школам'!$E$2:$E$259,"обществоведение",'Самопроверка по школам'!$J$2:$J$259,"п.л.")</f>
        <v>0</v>
      </c>
      <c r="L14" s="17">
        <f>COUNTIFS('Самопроверка по школам'!$D$2:$D$259,"Яновская ДСБШ",'Самопроверка по школам'!$E$2:$E$259,"география",'Самопроверка по школам'!$J$2:$J$259,"п.л.")</f>
        <v>0</v>
      </c>
      <c r="M14" s="17">
        <f>COUNTIFS('Самопроверка по школам'!$J$2:$J$259,"п.л.",'Самопроверка по школам'!$E$2:$E$259,"Биология",'Самопроверка по школам'!$D$2:$D$259,"Яновская ДСБШ")</f>
        <v>0</v>
      </c>
      <c r="N14" s="17">
        <f>COUNTIFS('Самопроверка по школам'!$D$2:$D$259,"Яновская ДСБШ",'Самопроверка по школам'!$E$2:$E$259,"физика",'Самопроверка по школам'!$J$2:$J$259,"п.л.")</f>
        <v>0</v>
      </c>
      <c r="O14" s="17">
        <f>COUNTIFS('Самопроверка по школам'!$J$2:$J$259,"п.л.",'Самопроверка по школам'!$E$2:$E$259,"астрономия",'Самопроверка по школам'!$D$2:$D$259,"Яновская ДСБШ")</f>
        <v>0</v>
      </c>
      <c r="P14" s="17">
        <f>COUNTIFS('Самопроверка по школам'!$J$2:$J$259,"п.л.",'Самопроверка по школам'!$E$2:$E$259,"химия",'Самопроверка по школам'!$D$2:$D$259,"Яновская ДСБШ")</f>
        <v>0</v>
      </c>
      <c r="Q14" s="17">
        <f>COUNTIFS('Самопроверка по школам'!$J$2:$J$259,"п.л.",'Самопроверка по школам'!$E$2:$E$259,"Трудовое обучение",'Самопроверка по школам'!$D$2:$D$259,"Яновская ДСБШ")</f>
        <v>1</v>
      </c>
      <c r="R14" s="17">
        <f>COUNTIFS('Самопроверка по школам'!$J$2:$J$259,"п.л.",'Самопроверка по школам'!$E$2:$E$259,"физическая культура и здоровье",'Самопроверка по школам'!$D$2:$D$259,"Яновская ДСБШ")</f>
        <v>0</v>
      </c>
      <c r="S14" s="46"/>
      <c r="U14" s="46"/>
    </row>
    <row r="15" spans="1:21" ht="18.75" x14ac:dyDescent="0.25">
      <c r="A15" s="6">
        <v>10</v>
      </c>
      <c r="B15" s="9" t="s">
        <v>20</v>
      </c>
      <c r="C15" s="6">
        <f>COUNTIFS('Самопроверка по школам'!$J$2:$J$259,"п.л.",'Самопроверка по школам'!$D$2:$D$259,"Сенненская школа-интернат")</f>
        <v>6</v>
      </c>
      <c r="D15" s="17">
        <f>COUNTIFS('Самопроверка по школам'!$D$2:$D$259,"Сенненская школа-интернат",'Самопроверка по школам'!$E$2:$E$259,"бел.яз и лит.",'Самопроверка по школам'!$J$2:$J$259,"п.л.")</f>
        <v>0</v>
      </c>
      <c r="E15" s="17">
        <f>COUNTIFS('Самопроверка по школам'!$D$2:$D$259,"Сенненская школа-интернат",'Самопроверка по школам'!$E$2:$E$259,"Русский язык и литература",'Самопроверка по школам'!$J$2:$J$259,"п.л.")</f>
        <v>0</v>
      </c>
      <c r="F15" s="17">
        <f>COUNTIFS('Самопроверка по школам'!$J$2:$J$259,"п.л.",'Самопроверка по школам'!$E$2:$E$259,"Английский язык",'Самопроверка по школам'!$D$2:$D$259,"Сенненская школа-интернат")</f>
        <v>0</v>
      </c>
      <c r="G15" s="17">
        <f>COUNTIFS('Самопроверка по школам'!$J$2:$J$259,"п.л.",'Самопроверка по школам'!$E$2:$E$259,"нем.яз",'Самопроверка по школам'!$D$2:$D$259,"Сенненская школа-интернат")</f>
        <v>0</v>
      </c>
      <c r="H15" s="17">
        <f>COUNTIFS('Самопроверка по школам'!$D$2:$D$259,"Сенненская школа-интернат",'Самопроверка по школам'!$E$2:$E$259,"математика",'Самопроверка по школам'!$J$2:$J$259,"п.л.")</f>
        <v>0</v>
      </c>
      <c r="I15" s="17">
        <f>COUNTIFS('Самопроверка по школам'!$D$2:$D$259,"Сенненская школа-интернат",'Самопроверка по школам'!$E$2:$E$259,"информатика",'Самопроверка по школам'!$J$2:$J$259,"п.л.")</f>
        <v>0</v>
      </c>
      <c r="J15" s="17">
        <f>COUNTIFS('Самопроверка по школам'!$D$2:$D$259,"Сенненская школа-интернат",'Самопроверка по школам'!$E$2:$E$259,"история",'Самопроверка по школам'!$J$2:$J$259,"п.л.")</f>
        <v>0</v>
      </c>
      <c r="K15" s="17">
        <f>COUNTIFS('Самопроверка по школам'!$D$2:$D$259,"Сенненская школа-интернат",'Самопроверка по школам'!$E$2:$E$259,"обществоведение",'Самопроверка по школам'!$J$2:$J$259,"п.л.")</f>
        <v>0</v>
      </c>
      <c r="L15" s="17">
        <f>COUNTIFS('Самопроверка по школам'!$D$2:$D$259,"Сенненская школа-интернат",'Самопроверка по школам'!$E$2:$E$259,"география",'Самопроверка по школам'!$J$2:$J$259,"п.л.")</f>
        <v>0</v>
      </c>
      <c r="M15" s="17">
        <f>COUNTIFS('Самопроверка по школам'!$J$2:$J$259,"п.л.",'Самопроверка по школам'!$E$2:$E$259,"Биология",'Самопроверка по школам'!$D$2:$D$259,"Сенненская школа-интернат")</f>
        <v>0</v>
      </c>
      <c r="N15" s="17">
        <f>COUNTIFS('Самопроверка по школам'!$D$2:$D$259,"Сенненская школа-интернат",'Самопроверка по школам'!$E$2:$E$259,"физика",'Самопроверка по школам'!$J$2:$J$259,"п.л.")</f>
        <v>0</v>
      </c>
      <c r="O15" s="17">
        <f>COUNTIFS('Самопроверка по школам'!$J$2:$J$259,"п.л.",'Самопроверка по школам'!$E$2:$E$259,"астрономия",'Самопроверка по школам'!$D$2:$D$259,"Сенненская школа-интернат")</f>
        <v>0</v>
      </c>
      <c r="P15" s="17">
        <f>COUNTIFS('Самопроверка по школам'!$J$2:$J$259,"п.л.",'Самопроверка по школам'!$E$2:$E$259,"химия",'Самопроверка по школам'!$D$2:$D$259,"Сенненская школа-интернат")</f>
        <v>0</v>
      </c>
      <c r="Q15" s="17">
        <f>COUNTIFS('Самопроверка по школам'!$J$2:$J$259,"п.л.",'Самопроверка по школам'!$E$2:$E$259,"Трудовое обучение",'Самопроверка по школам'!$D$2:$D$259,"Сенненская школа-интернат")</f>
        <v>5</v>
      </c>
      <c r="R15" s="17">
        <f>COUNTIFS('Самопроверка по школам'!$J$2:$J$259,"п.л.",'Самопроверка по школам'!$E$2:$E$259,"физическая культура и здоровье",'Самопроверка по школам'!$D$2:$D$259,"Сенненская школа-интернат")</f>
        <v>1</v>
      </c>
      <c r="S15" s="46"/>
      <c r="U15" s="46"/>
    </row>
    <row r="16" spans="1:21" ht="28.5" hidden="1" customHeight="1" x14ac:dyDescent="0.25">
      <c r="A16" s="6">
        <v>14</v>
      </c>
      <c r="B16" s="39" t="s">
        <v>28</v>
      </c>
      <c r="C16" s="6">
        <f>COUNTIFS('Самопроверка по школам'!$J$2:$J$73,"п.л.",'Самопроверка по школам'!$D$2:$D$73,"Богушевская санаторная школа-интернат")</f>
        <v>0</v>
      </c>
      <c r="D16" s="17">
        <f>COUNTIFS('Самопроверка по школам'!$D$2:$D$73,"Богушевская санаторная школа-интернат",'Самопроверка по школам'!$E$2:$E$73,"бел.яз и лит.",'Самопроверка по школам'!$J$2:$J$73,"п.л.")</f>
        <v>0</v>
      </c>
      <c r="E16" s="17">
        <f>COUNTIFS('Самопроверка по школам'!$D$2:$D$73,"Богушевская санаторная школа-интернат",'Самопроверка по школам'!$E$2:$E$73,"Русский язык и литература",'Самопроверка по школам'!$J$2:$J$73,"п.л.")</f>
        <v>0</v>
      </c>
      <c r="F16" s="17">
        <f>COUNTIFS('Самопроверка по школам'!$J$2:$J$73,"п.л.",'Самопроверка по школам'!$E$2:$E$73,"Английский язык",'Самопроверка по школам'!$D$2:$D$73,"Богушевская санаторная школа-интернат")</f>
        <v>0</v>
      </c>
      <c r="G16" s="17">
        <f>COUNTIFS('Самопроверка по школам'!$J$2:$J$73,"п.л.",'Самопроверка по школам'!$E$2:$E$73,"нем.яз",'Самопроверка по школам'!$D$2:$D$73,"Богушевская санаторная школа-интернат")</f>
        <v>0</v>
      </c>
      <c r="H16" s="17">
        <f>COUNTIFS('Самопроверка по школам'!$D$2:$D$73,"Богушевская санаторная школа-интернат",'Самопроверка по школам'!$E$2:$E$73,"математика",'Самопроверка по школам'!$J$2:$J$73,"п.л.")</f>
        <v>0</v>
      </c>
      <c r="I16" s="17">
        <f>COUNTIFS('Самопроверка по школам'!$D$2:$D$73,"Богушевская санаторная школа-интернат",'Самопроверка по школам'!$E$2:$E$73,"информатика",'Самопроверка по школам'!$J$2:$J$73,"п.л.")</f>
        <v>0</v>
      </c>
      <c r="J16" s="17">
        <f>COUNTIFS('Самопроверка по школам'!$D$2:$D$73,"Богушевская санаторная школа-интернат",'Самопроверка по школам'!$E$2:$E$73,"история",'Самопроверка по школам'!$J$2:$J$73,"п.л.")</f>
        <v>0</v>
      </c>
      <c r="K16" s="17">
        <f>COUNTIFS('Самопроверка по школам'!$D$2:$D$73,"Богушевская санаторная школа-интернат",'Самопроверка по школам'!$E$2:$E$73,"обществоведение",'Самопроверка по школам'!$J$2:$J$73,"п.л.")</f>
        <v>0</v>
      </c>
      <c r="L16" s="17">
        <f>COUNTIFS('Самопроверка по школам'!$D$2:$D$73,"Богушевская санаторная школа-интернат",'Самопроверка по школам'!$E$2:$E$73,"география",'Самопроверка по школам'!$J$2:$J$73,"п.л.")</f>
        <v>0</v>
      </c>
      <c r="M16" s="17">
        <f>COUNTIFS('Самопроверка по школам'!$J$2:$J$73,"п.л.",'Самопроверка по школам'!$E$2:$E$73,"Биология",'Самопроверка по школам'!$D$2:$D$73,"Богушевская санаторная школа-интернат")</f>
        <v>0</v>
      </c>
      <c r="N16" s="17">
        <f>COUNTIFS('Самопроверка по школам'!$D$2:$D$73,"Богушевская санаторная школа-интернат",'Самопроверка по школам'!$E$2:$E$73,"физика",'Самопроверка по школам'!$J$2:$J$73,"п.л.")</f>
        <v>0</v>
      </c>
      <c r="O16" s="17">
        <f>COUNTIFS('Самопроверка по школам'!$J$2:$J$73,"п.л.",'Самопроверка по школам'!$E$2:$E$73,"астрономия",'Самопроверка по школам'!$D$2:$D$73,"Богушевская санаторная школа-интернат")</f>
        <v>0</v>
      </c>
      <c r="P16" s="17">
        <f>COUNTIFS('Самопроверка по школам'!$J$2:$J$73,"п.л.",'Самопроверка по школам'!$E$2:$E$73,"химия",'Самопроверка по школам'!$D$2:$D$73,"Богушевская санаторная школа-интернат")</f>
        <v>0</v>
      </c>
      <c r="Q16" s="17">
        <f>COUNTIFS('Самопроверка по школам'!$J$2:$J$73,"п.л.",'Самопроверка по школам'!$E$2:$E$73,"Трудовое обучение",'Самопроверка по школам'!$D$2:$D$73,"Богушевская санаторная школа-интернат")</f>
        <v>0</v>
      </c>
      <c r="R16" s="90"/>
      <c r="S16" s="46">
        <f t="shared" ref="S16:S18" si="0">SUM(D16:R16)</f>
        <v>0</v>
      </c>
    </row>
    <row r="17" spans="1:21" ht="18.75" hidden="1" x14ac:dyDescent="0.25">
      <c r="A17" s="6">
        <v>16</v>
      </c>
      <c r="B17" s="9" t="s">
        <v>26</v>
      </c>
      <c r="C17" s="6">
        <f>COUNTIFS('Самопроверка по школам'!$J$2:$J$73,"п.л.",'Самопроверка по школам'!$D$2:$D$73,"Немойтовская ДСБШ")</f>
        <v>0</v>
      </c>
      <c r="D17" s="17">
        <f>COUNTIFS('Самопроверка по школам'!$D$2:$D$73,"Немойтовская ДСБШ",'Самопроверка по школам'!$E$2:$E$73,"бел.яз и лит.",'Самопроверка по школам'!$J$2:$J$73,"п.л.")</f>
        <v>0</v>
      </c>
      <c r="E17" s="17">
        <f>COUNTIFS('Самопроверка по школам'!$D$2:$D$73,"Немойтовская ДСБШ",'Самопроверка по школам'!$E$2:$E$73,"Русский язык и литература",'Самопроверка по школам'!$J$2:$J$73,"п.л.")</f>
        <v>0</v>
      </c>
      <c r="F17" s="17">
        <f>COUNTIFS('Самопроверка по школам'!$J$2:$J$73,"п.л.",'Самопроверка по школам'!$E$2:$E$73,"Английский язык",'Самопроверка по школам'!$D$2:$D$73,"Немойтовская ДСБШ")</f>
        <v>0</v>
      </c>
      <c r="G17" s="17">
        <f>COUNTIFS('Самопроверка по школам'!$J$2:$J$73,"п.л.",'Самопроверка по школам'!$E$2:$E$73,"нем.яз",'Самопроверка по школам'!$D$2:$D$73,"Немойтовская ДСБШ")</f>
        <v>0</v>
      </c>
      <c r="H17" s="17">
        <f>COUNTIFS('Самопроверка по школам'!$D$2:$D$73,"Немойтовская ДСБШ",'Самопроверка по школам'!$E$2:$E$73,"математика",'Самопроверка по школам'!$J$2:$J$73,"п.л.")</f>
        <v>0</v>
      </c>
      <c r="I17" s="17">
        <f>COUNTIFS('Самопроверка по школам'!$D$2:$D$73,"Немойтовская ДСБШ",'Самопроверка по школам'!$E$2:$E$73,"информатика",'Самопроверка по школам'!$J$2:$J$73,"п.л.")</f>
        <v>0</v>
      </c>
      <c r="J17" s="17">
        <f>COUNTIFS('Самопроверка по школам'!$D$2:$D$73,"Немойтовская ДСБШ",'Самопроверка по школам'!$E$2:$E$73,"история",'Самопроверка по школам'!$J$2:$J$73,"п.л.")</f>
        <v>0</v>
      </c>
      <c r="K17" s="17">
        <f>COUNTIFS('Самопроверка по школам'!$D$2:$D$73,"Немойтовская ДСБШ",'Самопроверка по школам'!$E$2:$E$73,"обществоведение",'Самопроверка по школам'!$J$2:$J$73,"п.л.")</f>
        <v>0</v>
      </c>
      <c r="L17" s="17">
        <f>COUNTIFS('Самопроверка по школам'!$D$2:$D$73,"Немойтовская ДСБШ",'Самопроверка по школам'!$E$2:$E$73,"география",'Самопроверка по школам'!$J$2:$J$73,"п.л.")</f>
        <v>0</v>
      </c>
      <c r="M17" s="17">
        <f>COUNTIFS('Самопроверка по школам'!$J$2:$J$73,"п.л.",'Самопроверка по школам'!$E$2:$E$73,"Биология",'Самопроверка по школам'!$D$2:$D$73,"Немойтовская ДСБШ")</f>
        <v>0</v>
      </c>
      <c r="N17" s="17">
        <f>COUNTIFS('Самопроверка по школам'!$D$2:$D$73,"Немойтовская ДСБШ",'Самопроверка по школам'!$E$2:$E$73,"физика",'Самопроверка по школам'!$J$2:$J$73,"п.л.")</f>
        <v>0</v>
      </c>
      <c r="O17" s="17">
        <f>COUNTIFS('Самопроверка по школам'!$J$2:$J$73,"п.л.",'Самопроверка по школам'!$E$2:$E$73,"астрономия",'Самопроверка по школам'!$D$2:$D$73,"Немойтовская ДСБШ")</f>
        <v>0</v>
      </c>
      <c r="P17" s="17">
        <f>COUNTIFS('Самопроверка по школам'!$J$2:$J$73,"п.л.",'Самопроверка по школам'!$E$2:$E$73,"химия",'Самопроверка по школам'!$D$2:$D$73,"Немойтовская ДСБШ")</f>
        <v>0</v>
      </c>
      <c r="Q17" s="17">
        <f>COUNTIFS('Самопроверка по школам'!$J$2:$J$73,"п.л.",'Самопроверка по школам'!$E$2:$E$73,"Трудовое обучение",'Самопроверка по школам'!$D$2:$D$73,"Немойтовская ДСБШ")</f>
        <v>0</v>
      </c>
      <c r="R17" s="90"/>
      <c r="S17" s="46">
        <f t="shared" si="0"/>
        <v>0</v>
      </c>
    </row>
    <row r="18" spans="1:21" ht="18.75" hidden="1" x14ac:dyDescent="0.25">
      <c r="A18" s="6">
        <v>17</v>
      </c>
      <c r="B18" s="9" t="s">
        <v>21</v>
      </c>
      <c r="C18" s="6">
        <f>COUNTIFS('Самопроверка по школам'!$J$2:$J$73,"п.л.",'Самопроверка по школам'!$D$2:$D$73,"Ульяновичская ДСБШ")</f>
        <v>0</v>
      </c>
      <c r="D18" s="17">
        <f>COUNTIFS('Самопроверка по школам'!$D$2:$D$73,"Ульяновичская ДСБШ",'Самопроверка по школам'!$E$2:$E$73,"бел.яз и лит.",'Самопроверка по школам'!$J$2:$J$73,"п.л.")</f>
        <v>0</v>
      </c>
      <c r="E18" s="17">
        <f>COUNTIFS('Самопроверка по школам'!$D$2:$D$73,"Ульяновичская ДСБШ",'Самопроверка по школам'!$E$2:$E$73,"Русский язык и литература",'Самопроверка по школам'!$J$2:$J$73,"п.л.")</f>
        <v>0</v>
      </c>
      <c r="F18" s="17">
        <f>COUNTIFS('Самопроверка по школам'!$J$2:$J$73,"п.л.",'Самопроверка по школам'!$E$2:$E$73,"Английский язык",'Самопроверка по школам'!$D$2:$D$73,"Ульяновичская ДСБШ")</f>
        <v>0</v>
      </c>
      <c r="G18" s="17">
        <f>COUNTIFS('Самопроверка по школам'!$J$2:$J$73,"п.л.",'Самопроверка по школам'!$E$2:$E$73,"нем.яз",'Самопроверка по школам'!$D$2:$D$73,"Ульяновичская ДСБШ")</f>
        <v>0</v>
      </c>
      <c r="H18" s="17">
        <f>COUNTIFS('Самопроверка по школам'!$D$2:$D$73,"Ульяновичская ДСБШ",'Самопроверка по школам'!$E$2:$E$73,"математика",'Самопроверка по школам'!$J$2:$J$73,"п.л.")</f>
        <v>0</v>
      </c>
      <c r="I18" s="17">
        <f>COUNTIFS('Самопроверка по школам'!$D$2:$D$73,"Ульяновичская ДСБШ",'Самопроверка по школам'!$E$2:$E$73,"информатика",'Самопроверка по школам'!$J$2:$J$73,"п.л.")</f>
        <v>0</v>
      </c>
      <c r="J18" s="17">
        <f>COUNTIFS('Самопроверка по школам'!$D$2:$D$73,"Ульяновичская ДСБШ",'Самопроверка по школам'!$E$2:$E$73,"история",'Самопроверка по школам'!$J$2:$J$73,"п.л.")</f>
        <v>0</v>
      </c>
      <c r="K18" s="17">
        <f>COUNTIFS('Самопроверка по школам'!$D$2:$D$73,"Ульяновичская ДСБШ",'Самопроверка по школам'!$E$2:$E$73,"обществоведение",'Самопроверка по школам'!$J$2:$J$73,"п.л.")</f>
        <v>0</v>
      </c>
      <c r="L18" s="17">
        <f>COUNTIFS('Самопроверка по школам'!$D$2:$D$73,"Ульяновичская ДСБШ",'Самопроверка по школам'!$E$2:$E$73,"география",'Самопроверка по школам'!$J$2:$J$73,"п.л.")</f>
        <v>0</v>
      </c>
      <c r="M18" s="17">
        <f>COUNTIFS('Самопроверка по школам'!$J$2:$J$73,"п.л.",'Самопроверка по школам'!$E$2:$E$73,"Биология",'Самопроверка по школам'!$D$2:$D$73,"Ульяновичская ДСБШ")</f>
        <v>0</v>
      </c>
      <c r="N18" s="17">
        <f>COUNTIFS('Самопроверка по школам'!$D$2:$D$73,"Ульяновичская ДСБШ",'Самопроверка по школам'!$E$2:$E$73,"физика",'Самопроверка по школам'!$J$2:$J$73,"п.л.")</f>
        <v>0</v>
      </c>
      <c r="O18" s="17">
        <f>COUNTIFS('Самопроверка по школам'!$J$2:$J$73,"п.л.",'Самопроверка по школам'!$E$2:$E$73,"астрономия",'Самопроверка по школам'!$D$2:$D$73,"Ульяновичская ДСБШ")</f>
        <v>0</v>
      </c>
      <c r="P18" s="17">
        <f>COUNTIFS('Самопроверка по школам'!$J$2:$J$73,"п.л.",'Самопроверка по школам'!$E$2:$E$73,"химия",'Самопроверка по школам'!$D$2:$D$73,"Ульяновичская ДСБШ")</f>
        <v>0</v>
      </c>
      <c r="Q18" s="17">
        <f>COUNTIFS('Самопроверка по школам'!$J$2:$J$73,"п.л.",'Самопроверка по школам'!$E$2:$E$73,"Трудовое обучение",'Самопроверка по школам'!$D$2:$D$73,"Ульяновичская ДСБШ")</f>
        <v>0</v>
      </c>
      <c r="R18" s="90"/>
      <c r="S18" s="46">
        <f t="shared" si="0"/>
        <v>0</v>
      </c>
    </row>
    <row r="19" spans="1:21" ht="20.25" x14ac:dyDescent="0.25">
      <c r="A19" s="20"/>
      <c r="B19" s="21" t="s">
        <v>29</v>
      </c>
      <c r="C19" s="64">
        <f>SUM(C3:C18)</f>
        <v>53</v>
      </c>
      <c r="D19" s="24">
        <f>SUM(D3:D18)</f>
        <v>7</v>
      </c>
      <c r="E19" s="25">
        <f>SUM(E3:E18)</f>
        <v>6</v>
      </c>
      <c r="F19" s="26">
        <f t="shared" ref="F19:Q19" si="1">SUM(F1:F18)</f>
        <v>2</v>
      </c>
      <c r="G19" s="27">
        <f t="shared" si="1"/>
        <v>0</v>
      </c>
      <c r="H19" s="28">
        <f t="shared" si="1"/>
        <v>3</v>
      </c>
      <c r="I19" s="29">
        <f t="shared" si="1"/>
        <v>1</v>
      </c>
      <c r="J19" s="30">
        <f t="shared" si="1"/>
        <v>2</v>
      </c>
      <c r="K19" s="31">
        <f t="shared" si="1"/>
        <v>4</v>
      </c>
      <c r="L19" s="29">
        <f t="shared" si="1"/>
        <v>3</v>
      </c>
      <c r="M19" s="32">
        <f t="shared" si="1"/>
        <v>5</v>
      </c>
      <c r="N19" s="26">
        <f t="shared" si="1"/>
        <v>0</v>
      </c>
      <c r="O19" s="33">
        <f t="shared" si="1"/>
        <v>0</v>
      </c>
      <c r="P19" s="28">
        <f t="shared" si="1"/>
        <v>0</v>
      </c>
      <c r="Q19" s="28">
        <f t="shared" si="1"/>
        <v>8</v>
      </c>
      <c r="R19" s="34">
        <f>SUM(R3:R18)</f>
        <v>12</v>
      </c>
      <c r="S19" s="46">
        <f>SUM(D19:R19)</f>
        <v>53</v>
      </c>
      <c r="U19" s="46"/>
    </row>
  </sheetData>
  <mergeCells count="16">
    <mergeCell ref="R1:R2"/>
    <mergeCell ref="P1:P2"/>
    <mergeCell ref="Q1:Q2"/>
    <mergeCell ref="A1:C1"/>
    <mergeCell ref="J1:J2"/>
    <mergeCell ref="K1:K2"/>
    <mergeCell ref="L1:L2"/>
    <mergeCell ref="M1:M2"/>
    <mergeCell ref="N1:N2"/>
    <mergeCell ref="O1:O2"/>
    <mergeCell ref="D1:D2"/>
    <mergeCell ref="E1:E2"/>
    <mergeCell ref="F1:F2"/>
    <mergeCell ref="G1:G2"/>
    <mergeCell ref="H1:H2"/>
    <mergeCell ref="I1:I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="85" zoomScaleNormal="85" workbookViewId="0">
      <selection activeCell="A5" sqref="A5"/>
    </sheetView>
  </sheetViews>
  <sheetFormatPr defaultRowHeight="15" x14ac:dyDescent="0.25"/>
  <cols>
    <col min="1" max="1" width="23.140625" customWidth="1"/>
    <col min="2" max="2" width="6.28515625" customWidth="1"/>
    <col min="3" max="3" width="12.28515625" customWidth="1"/>
    <col min="4" max="4" width="10.7109375" customWidth="1"/>
    <col min="5" max="5" width="9" customWidth="1"/>
    <col min="6" max="7" width="5.28515625" customWidth="1"/>
    <col min="8" max="8" width="4.85546875" customWidth="1"/>
    <col min="9" max="9" width="6" customWidth="1"/>
    <col min="10" max="10" width="5.28515625" customWidth="1"/>
    <col min="11" max="12" width="6.7109375" customWidth="1"/>
    <col min="13" max="13" width="5.7109375" customWidth="1"/>
    <col min="14" max="14" width="5.42578125" customWidth="1"/>
    <col min="15" max="15" width="5.140625" customWidth="1"/>
    <col min="16" max="16" width="5.5703125" customWidth="1"/>
    <col min="17" max="20" width="5" customWidth="1"/>
    <col min="21" max="21" width="4.5703125" customWidth="1"/>
    <col min="22" max="22" width="4.28515625" customWidth="1"/>
    <col min="23" max="23" width="7.85546875" customWidth="1"/>
  </cols>
  <sheetData>
    <row r="1" spans="1:23" ht="44.25" customHeight="1" x14ac:dyDescent="0.25">
      <c r="A1" s="197" t="s">
        <v>400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9"/>
      <c r="V1" s="78"/>
      <c r="W1" s="79"/>
    </row>
    <row r="2" spans="1:23" ht="20.25" customHeight="1" x14ac:dyDescent="0.25">
      <c r="A2" s="244" t="s">
        <v>401</v>
      </c>
      <c r="B2" s="245" t="s">
        <v>43</v>
      </c>
      <c r="C2" s="246" t="s">
        <v>30</v>
      </c>
      <c r="D2" s="247" t="s">
        <v>44</v>
      </c>
      <c r="E2" s="248" t="s">
        <v>120</v>
      </c>
      <c r="F2" s="255" t="s">
        <v>125</v>
      </c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7"/>
      <c r="U2" s="251" t="s">
        <v>24</v>
      </c>
    </row>
    <row r="3" spans="1:23" ht="20.25" customHeight="1" x14ac:dyDescent="0.25">
      <c r="A3" s="244"/>
      <c r="B3" s="245"/>
      <c r="C3" s="246"/>
      <c r="D3" s="247"/>
      <c r="E3" s="249"/>
      <c r="F3" s="254" t="s">
        <v>31</v>
      </c>
      <c r="G3" s="233" t="s">
        <v>32</v>
      </c>
      <c r="H3" s="234" t="s">
        <v>33</v>
      </c>
      <c r="I3" s="235" t="s">
        <v>34</v>
      </c>
      <c r="J3" s="236" t="s">
        <v>35</v>
      </c>
      <c r="K3" s="237" t="s">
        <v>36</v>
      </c>
      <c r="L3" s="243" t="s">
        <v>37</v>
      </c>
      <c r="M3" s="240" t="s">
        <v>38</v>
      </c>
      <c r="N3" s="237" t="s">
        <v>39</v>
      </c>
      <c r="O3" s="241" t="s">
        <v>46</v>
      </c>
      <c r="P3" s="234" t="s">
        <v>47</v>
      </c>
      <c r="Q3" s="242" t="s">
        <v>48</v>
      </c>
      <c r="R3" s="236" t="s">
        <v>49</v>
      </c>
      <c r="S3" s="232" t="s">
        <v>50</v>
      </c>
      <c r="T3" s="231" t="s">
        <v>251</v>
      </c>
      <c r="U3" s="252"/>
    </row>
    <row r="4" spans="1:23" ht="71.25" customHeight="1" x14ac:dyDescent="0.25">
      <c r="A4" s="244"/>
      <c r="B4" s="245"/>
      <c r="C4" s="246"/>
      <c r="D4" s="247"/>
      <c r="E4" s="250"/>
      <c r="F4" s="254"/>
      <c r="G4" s="233"/>
      <c r="H4" s="234"/>
      <c r="I4" s="235"/>
      <c r="J4" s="236"/>
      <c r="K4" s="237"/>
      <c r="L4" s="243"/>
      <c r="M4" s="240"/>
      <c r="N4" s="237"/>
      <c r="O4" s="241"/>
      <c r="P4" s="234"/>
      <c r="Q4" s="242"/>
      <c r="R4" s="236"/>
      <c r="S4" s="232"/>
      <c r="T4" s="223"/>
      <c r="U4" s="253"/>
    </row>
    <row r="5" spans="1:23" ht="15" customHeight="1" x14ac:dyDescent="0.25">
      <c r="A5" s="14" t="s">
        <v>13</v>
      </c>
      <c r="B5" s="14">
        <v>135</v>
      </c>
      <c r="C5" s="8">
        <f>'Предварительная Результативност'!H4</f>
        <v>58</v>
      </c>
      <c r="D5" s="45">
        <f>E5/C5</f>
        <v>0.22413793103448276</v>
      </c>
      <c r="E5" s="15">
        <f>'Результативность по предметам'!E5</f>
        <v>13</v>
      </c>
      <c r="F5" s="17">
        <f>'Результативность по предметам'!I5+нерезульт.выступление!F5+'Похвальные листы Школы Предметы'!D3</f>
        <v>8</v>
      </c>
      <c r="G5" s="17">
        <f>'Результативность по предметам'!J5+нерезульт.выступление!G5+'Похвальные листы Школы Предметы'!E3</f>
        <v>3</v>
      </c>
      <c r="H5" s="17">
        <f>'Результативность по предметам'!K5+нерезульт.выступление!H5+'Похвальные листы Школы Предметы'!F3</f>
        <v>2</v>
      </c>
      <c r="I5" s="17">
        <f>'Результативность по предметам'!L5+нерезульт.выступление!I5+'Похвальные листы Школы Предметы'!G3</f>
        <v>0</v>
      </c>
      <c r="J5" s="17">
        <f>'Результативность по предметам'!M5+нерезульт.выступление!J5+'Похвальные листы Школы Предметы'!H3</f>
        <v>4</v>
      </c>
      <c r="K5" s="17">
        <f>'Результативность по предметам'!N5+нерезульт.выступление!K5+'Похвальные листы Школы Предметы'!I3</f>
        <v>1</v>
      </c>
      <c r="L5" s="17">
        <f>'Результативность по предметам'!O5+нерезульт.выступление!L5+'Похвальные листы Школы Предметы'!J3</f>
        <v>2</v>
      </c>
      <c r="M5" s="17">
        <f>'Результативность по предметам'!P5+нерезульт.выступление!M5+'Похвальные листы Школы Предметы'!K3</f>
        <v>9</v>
      </c>
      <c r="N5" s="17">
        <f>'Результативность по предметам'!Q5+нерезульт.выступление!N5+'Похвальные листы Школы Предметы'!L3</f>
        <v>4</v>
      </c>
      <c r="O5" s="17">
        <f>'Результативность по предметам'!R5+нерезульт.выступление!O5+'Похвальные листы Школы Предметы'!M3</f>
        <v>9</v>
      </c>
      <c r="P5" s="17">
        <f>'Результативность по предметам'!S5+нерезульт.выступление!P5+'Похвальные листы Школы Предметы'!N3</f>
        <v>1</v>
      </c>
      <c r="Q5" s="17">
        <f>'Результативность по предметам'!T5+нерезульт.выступление!Q5+'Похвальные листы Школы Предметы'!O3</f>
        <v>1</v>
      </c>
      <c r="R5" s="17">
        <f>'Результативность по предметам'!U5+нерезульт.выступление!R5+'Похвальные листы Школы Предметы'!P3</f>
        <v>4</v>
      </c>
      <c r="S5" s="17">
        <f>'Результативность по предметам'!V5+нерезульт.выступление!S5+'Похвальные листы Школы Предметы'!Q3</f>
        <v>2</v>
      </c>
      <c r="T5" s="17">
        <f>'Результативность по предметам'!W5+нерезульт.выступление!T5+'Похвальные листы Школы Предметы'!R3</f>
        <v>8</v>
      </c>
      <c r="U5" s="40">
        <f>'Похвальные листы Школы Предметы'!C3</f>
        <v>12</v>
      </c>
    </row>
    <row r="6" spans="1:23" ht="15.75" customHeight="1" x14ac:dyDescent="0.25">
      <c r="A6" s="14" t="s">
        <v>10</v>
      </c>
      <c r="B6" s="14">
        <v>149</v>
      </c>
      <c r="C6" s="8">
        <f>'Предварительная Результативност'!H5</f>
        <v>64</v>
      </c>
      <c r="D6" s="45">
        <f t="shared" ref="D6:D21" si="0">E6/C6</f>
        <v>0.328125</v>
      </c>
      <c r="E6" s="15">
        <f>'Результативность по предметам'!E6</f>
        <v>21</v>
      </c>
      <c r="F6" s="17">
        <f>'Результативность по предметам'!I6+нерезульт.выступление!F6+'Похвальные листы Школы Предметы'!D4</f>
        <v>5</v>
      </c>
      <c r="G6" s="17">
        <f>'Результативность по предметам'!J6+нерезульт.выступление!G6+'Похвальные листы Школы Предметы'!E4</f>
        <v>4</v>
      </c>
      <c r="H6" s="17">
        <f>'Результативность по предметам'!K6+нерезульт.выступление!H6+'Похвальные листы Школы Предметы'!F4</f>
        <v>3</v>
      </c>
      <c r="I6" s="17">
        <f>'Результативность по предметам'!L6+нерезульт.выступление!I6+'Похвальные листы Школы Предметы'!G4</f>
        <v>0</v>
      </c>
      <c r="J6" s="17">
        <f>'Результативность по предметам'!M6+нерезульт.выступление!J6+'Похвальные листы Школы Предметы'!H4</f>
        <v>8</v>
      </c>
      <c r="K6" s="17">
        <f>'Результативность по предметам'!N6+нерезульт.выступление!K6+'Похвальные листы Школы Предметы'!I4</f>
        <v>2</v>
      </c>
      <c r="L6" s="17">
        <f>'Результативность по предметам'!O6+нерезульт.выступление!L6+'Похвальные листы Школы Предметы'!J4</f>
        <v>4</v>
      </c>
      <c r="M6" s="17">
        <f>'Результативность по предметам'!P6+нерезульт.выступление!M6+'Похвальные листы Школы Предметы'!K4</f>
        <v>4</v>
      </c>
      <c r="N6" s="17">
        <f>'Результативность по предметам'!Q6+нерезульт.выступление!N6+'Похвальные листы Школы Предметы'!L4</f>
        <v>5</v>
      </c>
      <c r="O6" s="17">
        <f>'Результативность по предметам'!R6+нерезульт.выступление!O6+'Похвальные листы Школы Предметы'!M4</f>
        <v>6</v>
      </c>
      <c r="P6" s="17">
        <f>'Результативность по предметам'!S6+нерезульт.выступление!P6+'Похвальные листы Школы Предметы'!N4</f>
        <v>3</v>
      </c>
      <c r="Q6" s="17">
        <f>'Результативность по предметам'!T6+нерезульт.выступление!Q6+'Похвальные листы Школы Предметы'!O4</f>
        <v>1</v>
      </c>
      <c r="R6" s="17">
        <f>'Результативность по предметам'!U6+нерезульт.выступление!R6+'Похвальные листы Школы Предметы'!P4</f>
        <v>3</v>
      </c>
      <c r="S6" s="17">
        <f>'Результативность по предметам'!V6+нерезульт.выступление!S6+'Похвальные листы Школы Предметы'!Q4</f>
        <v>10</v>
      </c>
      <c r="T6" s="17">
        <f>'Результативность по предметам'!W6+нерезульт.выступление!T6+'Похвальные листы Школы Предметы'!R4</f>
        <v>6</v>
      </c>
      <c r="U6" s="40">
        <f>'Похвальные листы Школы Предметы'!C4</f>
        <v>14</v>
      </c>
    </row>
    <row r="7" spans="1:23" ht="15.75" hidden="1" customHeight="1" x14ac:dyDescent="0.25">
      <c r="A7" s="14"/>
      <c r="B7" s="14"/>
      <c r="C7" s="8"/>
      <c r="D7" s="45"/>
      <c r="E7" s="1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40"/>
    </row>
    <row r="8" spans="1:23" ht="15.75" customHeight="1" x14ac:dyDescent="0.25">
      <c r="A8" s="14" t="s">
        <v>252</v>
      </c>
      <c r="B8" s="14">
        <v>129</v>
      </c>
      <c r="C8" s="8">
        <f>'Предварительная Результативност'!H7</f>
        <v>34</v>
      </c>
      <c r="D8" s="45">
        <f t="shared" si="0"/>
        <v>0.14705882352941177</v>
      </c>
      <c r="E8" s="15">
        <f>'Результативность по предметам'!E8</f>
        <v>5</v>
      </c>
      <c r="F8" s="17">
        <f>'Результативность по предметам'!I8+нерезульт.выступление!F8+'Похвальные листы Школы Предметы'!D6</f>
        <v>2</v>
      </c>
      <c r="G8" s="17">
        <f>'Результативность по предметам'!J8+нерезульт.выступление!G8+'Похвальные листы Школы Предметы'!E6</f>
        <v>4</v>
      </c>
      <c r="H8" s="17">
        <f>'Результативность по предметам'!K8+нерезульт.выступление!H8+'Похвальные листы Школы Предметы'!F6</f>
        <v>2</v>
      </c>
      <c r="I8" s="17">
        <f>'Результативность по предметам'!L8+нерезульт.выступление!I8+'Похвальные листы Школы Предметы'!G6</f>
        <v>1</v>
      </c>
      <c r="J8" s="17">
        <f>'Результативность по предметам'!M8+нерезульт.выступление!J8+'Похвальные листы Школы Предметы'!H6</f>
        <v>7</v>
      </c>
      <c r="K8" s="17">
        <f>'Результативность по предметам'!N8+нерезульт.выступление!K8+'Похвальные листы Школы Предметы'!I6</f>
        <v>2</v>
      </c>
      <c r="L8" s="17">
        <f>'Результативность по предметам'!O8+нерезульт.выступление!L8+'Похвальные листы Школы Предметы'!J6</f>
        <v>2</v>
      </c>
      <c r="M8" s="17">
        <f>'Результативность по предметам'!P8+нерезульт.выступление!M8+'Похвальные листы Школы Предметы'!K6</f>
        <v>0</v>
      </c>
      <c r="N8" s="17">
        <f>'Результативность по предметам'!Q8+нерезульт.выступление!N8+'Похвальные листы Школы Предметы'!L6</f>
        <v>1</v>
      </c>
      <c r="O8" s="17">
        <f>'Результативность по предметам'!R8+нерезульт.выступление!O8+'Похвальные листы Школы Предметы'!M6</f>
        <v>5</v>
      </c>
      <c r="P8" s="17">
        <f>'Результативность по предметам'!S8+нерезульт.выступление!P8+'Похвальные листы Школы Предметы'!N6</f>
        <v>1</v>
      </c>
      <c r="Q8" s="17">
        <f>'Результативность по предметам'!T8+нерезульт.выступление!Q8+'Похвальные листы Школы Предметы'!O6</f>
        <v>0</v>
      </c>
      <c r="R8" s="17">
        <f>'Результативность по предметам'!U8+нерезульт.выступление!R8+'Похвальные листы Школы Предметы'!P6</f>
        <v>0</v>
      </c>
      <c r="S8" s="17">
        <f>'Результативность по предметам'!V8+нерезульт.выступление!S8+'Похвальные листы Школы Предметы'!Q6</f>
        <v>2</v>
      </c>
      <c r="T8" s="17">
        <f>'Результативность по предметам'!W8+нерезульт.выступление!T8+'Похвальные листы Школы Предметы'!R6</f>
        <v>5</v>
      </c>
      <c r="U8" s="40">
        <f>'Похвальные листы Школы Предметы'!C6</f>
        <v>3</v>
      </c>
    </row>
    <row r="9" spans="1:23" ht="15.75" customHeight="1" x14ac:dyDescent="0.25">
      <c r="A9" s="14" t="s">
        <v>15</v>
      </c>
      <c r="B9" s="14">
        <v>24</v>
      </c>
      <c r="C9" s="8">
        <f>'Предварительная Результативност'!H8</f>
        <v>16</v>
      </c>
      <c r="D9" s="45">
        <f t="shared" si="0"/>
        <v>6.25E-2</v>
      </c>
      <c r="E9" s="15">
        <f>'Результативность по предметам'!E9</f>
        <v>1</v>
      </c>
      <c r="F9" s="17">
        <f>'Результативность по предметам'!I9+нерезульт.выступление!F9+'Похвальные листы Школы Предметы'!D7</f>
        <v>0</v>
      </c>
      <c r="G9" s="17">
        <f>'Результативность по предметам'!J9+нерезульт.выступление!G9+'Похвальные листы Школы Предметы'!E7</f>
        <v>1</v>
      </c>
      <c r="H9" s="17">
        <f>'Результативность по предметам'!K9+нерезульт.выступление!H9+'Похвальные листы Школы Предметы'!F7</f>
        <v>0</v>
      </c>
      <c r="I9" s="17">
        <f>'Результативность по предметам'!L9+нерезульт.выступление!I9+'Похвальные листы Школы Предметы'!G7</f>
        <v>0</v>
      </c>
      <c r="J9" s="17">
        <f>'Результативность по предметам'!M9+нерезульт.выступление!J9+'Похвальные листы Школы Предметы'!H7</f>
        <v>2</v>
      </c>
      <c r="K9" s="17">
        <f>'Результативность по предметам'!N9+нерезульт.выступление!K9+'Похвальные листы Школы Предметы'!I7</f>
        <v>1</v>
      </c>
      <c r="L9" s="17">
        <f>'Результативность по предметам'!O9+нерезульт.выступление!L9+'Похвальные листы Школы Предметы'!J7</f>
        <v>1</v>
      </c>
      <c r="M9" s="17">
        <f>'Результативность по предметам'!P9+нерезульт.выступление!M9+'Похвальные листы Школы Предметы'!K7</f>
        <v>1</v>
      </c>
      <c r="N9" s="17">
        <f>'Результативность по предметам'!Q9+нерезульт.выступление!N9+'Похвальные листы Школы Предметы'!L7</f>
        <v>1</v>
      </c>
      <c r="O9" s="17">
        <f>'Результативность по предметам'!R9+нерезульт.выступление!O9+'Похвальные листы Школы Предметы'!M7</f>
        <v>2</v>
      </c>
      <c r="P9" s="17">
        <f>'Результативность по предметам'!S9+нерезульт.выступление!P9+'Похвальные листы Школы Предметы'!N7</f>
        <v>1</v>
      </c>
      <c r="Q9" s="17">
        <f>'Результативность по предметам'!T9+нерезульт.выступление!Q9+'Похвальные листы Школы Предметы'!O7</f>
        <v>0</v>
      </c>
      <c r="R9" s="17">
        <f>'Результативность по предметам'!U9+нерезульт.выступление!R9+'Похвальные листы Школы Предметы'!P7</f>
        <v>1</v>
      </c>
      <c r="S9" s="17">
        <f>'Результативность по предметам'!V9+нерезульт.выступление!S9+'Похвальные листы Школы Предметы'!Q7</f>
        <v>1</v>
      </c>
      <c r="T9" s="17">
        <f>'Результативность по предметам'!W9+нерезульт.выступление!T9+'Похвальные листы Школы Предметы'!R7</f>
        <v>4</v>
      </c>
      <c r="U9" s="40">
        <f>'Похвальные листы Школы Предметы'!C7</f>
        <v>3</v>
      </c>
    </row>
    <row r="10" spans="1:23" ht="15.75" hidden="1" customHeight="1" x14ac:dyDescent="0.25">
      <c r="A10" s="14"/>
      <c r="B10" s="14"/>
      <c r="C10" s="8"/>
      <c r="D10" s="45"/>
      <c r="E10" s="15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40"/>
    </row>
    <row r="11" spans="1:23" ht="15.75" customHeight="1" x14ac:dyDescent="0.25">
      <c r="A11" s="14" t="s">
        <v>16</v>
      </c>
      <c r="B11" s="14">
        <v>19</v>
      </c>
      <c r="C11" s="8">
        <f>'Предварительная Результативност'!H10</f>
        <v>5</v>
      </c>
      <c r="D11" s="45">
        <f t="shared" si="0"/>
        <v>0.4</v>
      </c>
      <c r="E11" s="15">
        <f>'Результативность по предметам'!E11</f>
        <v>2</v>
      </c>
      <c r="F11" s="17">
        <f>'Результативность по предметам'!I11+нерезульт.выступление!F11+'Похвальные листы Школы Предметы'!D9</f>
        <v>2</v>
      </c>
      <c r="G11" s="17">
        <f>'Результативность по предметам'!J11+нерезульт.выступление!G11+'Похвальные листы Школы Предметы'!E9</f>
        <v>0</v>
      </c>
      <c r="H11" s="17">
        <f>'Результативность по предметам'!K11+нерезульт.выступление!H11+'Похвальные листы Школы Предметы'!F9</f>
        <v>0</v>
      </c>
      <c r="I11" s="17">
        <f>'Результативность по предметам'!L11+нерезульт.выступление!I11+'Похвальные листы Школы Предметы'!G9</f>
        <v>0</v>
      </c>
      <c r="J11" s="17">
        <f>'Результативность по предметам'!M11+нерезульт.выступление!J11+'Похвальные листы Школы Предметы'!H9</f>
        <v>0</v>
      </c>
      <c r="K11" s="17">
        <f>'Результативность по предметам'!N11+нерезульт.выступление!K11+'Похвальные листы Школы Предметы'!I9</f>
        <v>0</v>
      </c>
      <c r="L11" s="17">
        <f>'Результативность по предметам'!O11+нерезульт.выступление!L11+'Похвальные листы Школы Предметы'!J9</f>
        <v>0</v>
      </c>
      <c r="M11" s="17">
        <f>'Результативность по предметам'!P11+нерезульт.выступление!M11+'Похвальные листы Школы Предметы'!K9</f>
        <v>0</v>
      </c>
      <c r="N11" s="17">
        <f>'Результативность по предметам'!Q11+нерезульт.выступление!N11+'Похвальные листы Школы Предметы'!L9</f>
        <v>0</v>
      </c>
      <c r="O11" s="17">
        <f>'Результативность по предметам'!R11+нерезульт.выступление!O11+'Похвальные листы Школы Предметы'!M9</f>
        <v>2</v>
      </c>
      <c r="P11" s="17">
        <f>'Результативность по предметам'!S11+нерезульт.выступление!P11+'Похвальные листы Школы Предметы'!N9</f>
        <v>0</v>
      </c>
      <c r="Q11" s="17">
        <f>'Результативность по предметам'!T11+нерезульт.выступление!Q11+'Похвальные листы Школы Предметы'!O9</f>
        <v>0</v>
      </c>
      <c r="R11" s="17">
        <f>'Результативность по предметам'!U11+нерезульт.выступление!R11+'Похвальные листы Школы Предметы'!P9</f>
        <v>0</v>
      </c>
      <c r="S11" s="17">
        <f>'Результативность по предметам'!V11+нерезульт.выступление!S11+'Похвальные листы Школы Предметы'!Q9</f>
        <v>0</v>
      </c>
      <c r="T11" s="17">
        <f>'Результативность по предметам'!W11+нерезульт.выступление!T11+'Похвальные листы Школы Предметы'!R9</f>
        <v>1</v>
      </c>
      <c r="U11" s="40">
        <f>'Похвальные листы Школы Предметы'!C9</f>
        <v>0</v>
      </c>
    </row>
    <row r="12" spans="1:23" ht="15.75" customHeight="1" x14ac:dyDescent="0.25">
      <c r="A12" s="14" t="s">
        <v>14</v>
      </c>
      <c r="B12" s="14">
        <v>66</v>
      </c>
      <c r="C12" s="8">
        <f>'Предварительная Результативност'!H11</f>
        <v>37</v>
      </c>
      <c r="D12" s="45">
        <f t="shared" si="0"/>
        <v>8.1081081081081086E-2</v>
      </c>
      <c r="E12" s="15">
        <f>'Результативность по предметам'!E12</f>
        <v>3</v>
      </c>
      <c r="F12" s="17">
        <f>'Результативность по предметам'!I12+нерезульт.выступление!F12+'Похвальные листы Школы Предметы'!D10</f>
        <v>1</v>
      </c>
      <c r="G12" s="17">
        <f>'Результативность по предметам'!J12+нерезульт.выступление!G12+'Похвальные листы Школы Предметы'!E10</f>
        <v>2</v>
      </c>
      <c r="H12" s="17">
        <f>'Результативность по предметам'!K12+нерезульт.выступление!H12+'Похвальные листы Школы Предметы'!F10</f>
        <v>0</v>
      </c>
      <c r="I12" s="17">
        <f>'Результативность по предметам'!L12+нерезульт.выступление!I12+'Похвальные листы Школы Предметы'!G10</f>
        <v>2</v>
      </c>
      <c r="J12" s="17">
        <f>'Результативность по предметам'!M12+нерезульт.выступление!J12+'Похвальные листы Школы Предметы'!H10</f>
        <v>2</v>
      </c>
      <c r="K12" s="17">
        <f>'Результативность по предметам'!N12+нерезульт.выступление!K12+'Похвальные листы Школы Предметы'!I10</f>
        <v>0</v>
      </c>
      <c r="L12" s="17">
        <f>'Результативность по предметам'!O12+нерезульт.выступление!L12+'Похвальные листы Школы Предметы'!J10</f>
        <v>4</v>
      </c>
      <c r="M12" s="17">
        <f>'Результативность по предметам'!P12+нерезульт.выступление!M12+'Похвальные листы Школы Предметы'!K10</f>
        <v>3</v>
      </c>
      <c r="N12" s="17">
        <f>'Результативность по предметам'!Q12+нерезульт.выступление!N12+'Похвальные листы Школы Предметы'!L10</f>
        <v>4</v>
      </c>
      <c r="O12" s="17">
        <f>'Результативность по предметам'!R12+нерезульт.выступление!O12+'Похвальные листы Школы Предметы'!M10</f>
        <v>7</v>
      </c>
      <c r="P12" s="17">
        <f>'Результативность по предметам'!S12+нерезульт.выступление!P12+'Похвальные листы Школы Предметы'!N10</f>
        <v>1</v>
      </c>
      <c r="Q12" s="17">
        <f>'Результативность по предметам'!T12+нерезульт.выступление!Q12+'Похвальные листы Школы Предметы'!O10</f>
        <v>2</v>
      </c>
      <c r="R12" s="17">
        <f>'Результативность по предметам'!U12+нерезульт.выступление!R12+'Похвальные листы Школы Предметы'!P10</f>
        <v>6</v>
      </c>
      <c r="S12" s="17">
        <f>'Результативность по предметам'!V12+нерезульт.выступление!S12+'Похвальные листы Школы Предметы'!Q10</f>
        <v>1</v>
      </c>
      <c r="T12" s="17">
        <f>'Результативность по предметам'!W12+нерезульт.выступление!T12+'Похвальные листы Школы Предметы'!R10</f>
        <v>2</v>
      </c>
      <c r="U12" s="40">
        <f>'Похвальные листы Школы Предметы'!C10</f>
        <v>8</v>
      </c>
    </row>
    <row r="13" spans="1:23" ht="15.75" hidden="1" customHeight="1" x14ac:dyDescent="0.25">
      <c r="A13" s="14" t="s">
        <v>40</v>
      </c>
      <c r="B13" s="14"/>
      <c r="C13" s="8"/>
      <c r="D13" s="45"/>
      <c r="E13" s="1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40"/>
    </row>
    <row r="14" spans="1:23" ht="15.75" customHeight="1" x14ac:dyDescent="0.25">
      <c r="A14" s="14" t="s">
        <v>41</v>
      </c>
      <c r="B14" s="14">
        <v>37</v>
      </c>
      <c r="C14" s="8">
        <f>'Предварительная Результативност'!H13</f>
        <v>14</v>
      </c>
      <c r="D14" s="45">
        <f t="shared" si="0"/>
        <v>0.2857142857142857</v>
      </c>
      <c r="E14" s="15">
        <f>'Результативность по предметам'!E14</f>
        <v>4</v>
      </c>
      <c r="F14" s="17">
        <f>'Результативность по предметам'!I14+нерезульт.выступление!F14+'Похвальные листы Школы Предметы'!D12</f>
        <v>4</v>
      </c>
      <c r="G14" s="17">
        <f>'Результативность по предметам'!J14+нерезульт.выступление!G14+'Похвальные листы Школы Предметы'!E12</f>
        <v>0</v>
      </c>
      <c r="H14" s="17">
        <f>'Результативность по предметам'!K14+нерезульт.выступление!H14+'Похвальные листы Школы Предметы'!F12</f>
        <v>0</v>
      </c>
      <c r="I14" s="17">
        <f>'Результативность по предметам'!L14+нерезульт.выступление!I14+'Похвальные листы Школы Предметы'!G12</f>
        <v>0</v>
      </c>
      <c r="J14" s="17">
        <f>'Результативность по предметам'!M14+нерезульт.выступление!J14+'Похвальные листы Школы Предметы'!H12</f>
        <v>0</v>
      </c>
      <c r="K14" s="17">
        <f>'Результативность по предметам'!N14+нерезульт.выступление!K14+'Похвальные листы Школы Предметы'!I12</f>
        <v>0</v>
      </c>
      <c r="L14" s="17">
        <f>'Результативность по предметам'!O14+нерезульт.выступление!L14+'Похвальные листы Школы Предметы'!J12</f>
        <v>0</v>
      </c>
      <c r="M14" s="17">
        <f>'Результативность по предметам'!P14+нерезульт.выступление!M14+'Похвальные листы Школы Предметы'!K12</f>
        <v>0</v>
      </c>
      <c r="N14" s="17">
        <f>'Результативность по предметам'!Q14+нерезульт.выступление!N14+'Похвальные листы Школы Предметы'!L12</f>
        <v>0</v>
      </c>
      <c r="O14" s="17">
        <f>'Результативность по предметам'!R14+нерезульт.выступление!O14+'Похвальные листы Школы Предметы'!M12</f>
        <v>2</v>
      </c>
      <c r="P14" s="17">
        <f>'Результативность по предметам'!S14+нерезульт.выступление!P14+'Похвальные листы Школы Предметы'!N12</f>
        <v>0</v>
      </c>
      <c r="Q14" s="17">
        <f>'Результативность по предметам'!T14+нерезульт.выступление!Q14+'Похвальные листы Школы Предметы'!O12</f>
        <v>0</v>
      </c>
      <c r="R14" s="17">
        <f>'Результативность по предметам'!U14+нерезульт.выступление!R14+'Похвальные листы Школы Предметы'!P12</f>
        <v>0</v>
      </c>
      <c r="S14" s="17">
        <f>'Результативность по предметам'!V14+нерезульт.выступление!S14+'Похвальные листы Школы Предметы'!Q12</f>
        <v>4</v>
      </c>
      <c r="T14" s="17">
        <f>'Результативность по предметам'!W14+нерезульт.выступление!T14+'Похвальные листы Школы Предметы'!R12</f>
        <v>4</v>
      </c>
      <c r="U14" s="40">
        <f>'Похвальные листы Школы Предметы'!C12</f>
        <v>3</v>
      </c>
    </row>
    <row r="15" spans="1:23" ht="15.75" customHeight="1" x14ac:dyDescent="0.25">
      <c r="A15" s="14" t="s">
        <v>147</v>
      </c>
      <c r="B15" s="14">
        <v>22</v>
      </c>
      <c r="C15" s="8">
        <f>'Предварительная Результативност'!H14</f>
        <v>4</v>
      </c>
      <c r="D15" s="45">
        <f t="shared" si="0"/>
        <v>0.5</v>
      </c>
      <c r="E15" s="15">
        <f>'Результативность по предметам'!E15</f>
        <v>2</v>
      </c>
      <c r="F15" s="17">
        <f>'Результативность по предметам'!I15+нерезульт.выступление!F15+'Похвальные листы Школы Предметы'!D13</f>
        <v>1</v>
      </c>
      <c r="G15" s="17">
        <f>'Результативность по предметам'!J15+нерезульт.выступление!G15+'Похвальные листы Школы Предметы'!E13</f>
        <v>0</v>
      </c>
      <c r="H15" s="17">
        <f>'Результативность по предметам'!K15+нерезульт.выступление!H15+'Похвальные листы Школы Предметы'!F13</f>
        <v>0</v>
      </c>
      <c r="I15" s="17">
        <f>'Результативность по предметам'!L15+нерезульт.выступление!I15+'Похвальные листы Школы Предметы'!G13</f>
        <v>0</v>
      </c>
      <c r="J15" s="17">
        <f>'Результативность по предметам'!M15+нерезульт.выступление!J15+'Похвальные листы Школы Предметы'!H13</f>
        <v>0</v>
      </c>
      <c r="K15" s="17">
        <f>'Результативность по предметам'!N15+нерезульт.выступление!K15+'Похвальные листы Школы Предметы'!I13</f>
        <v>0</v>
      </c>
      <c r="L15" s="17">
        <f>'Результативность по предметам'!O15+нерезульт.выступление!L15+'Похвальные листы Школы Предметы'!J13</f>
        <v>0</v>
      </c>
      <c r="M15" s="17">
        <f>'Результативность по предметам'!P15+нерезульт.выступление!M15+'Похвальные листы Школы Предметы'!K13</f>
        <v>0</v>
      </c>
      <c r="N15" s="17">
        <f>'Результативность по предметам'!Q15+нерезульт.выступление!N15+'Похвальные листы Школы Предметы'!L13</f>
        <v>0</v>
      </c>
      <c r="O15" s="17">
        <f>'Результативность по предметам'!R15+нерезульт.выступление!O15+'Похвальные листы Школы Предметы'!M13</f>
        <v>0</v>
      </c>
      <c r="P15" s="17">
        <f>'Результативность по предметам'!S15+нерезульт.выступление!P15+'Похвальные листы Школы Предметы'!N13</f>
        <v>0</v>
      </c>
      <c r="Q15" s="17">
        <f>'Результативность по предметам'!T15+нерезульт.выступление!Q15+'Похвальные листы Школы Предметы'!O13</f>
        <v>0</v>
      </c>
      <c r="R15" s="17">
        <f>'Результативность по предметам'!U15+нерезульт.выступление!R15+'Похвальные листы Школы Предметы'!P13</f>
        <v>0</v>
      </c>
      <c r="S15" s="17">
        <f>'Результативность по предметам'!V15+нерезульт.выступление!S15+'Похвальные листы Школы Предметы'!Q13</f>
        <v>0</v>
      </c>
      <c r="T15" s="17">
        <f>'Результативность по предметам'!W15+нерезульт.выступление!T15+'Похвальные листы Школы Предметы'!R13</f>
        <v>3</v>
      </c>
      <c r="U15" s="40">
        <f>'Похвальные листы Школы Предметы'!C13</f>
        <v>1</v>
      </c>
    </row>
    <row r="16" spans="1:23" ht="15.75" customHeight="1" x14ac:dyDescent="0.25">
      <c r="A16" s="14" t="s">
        <v>118</v>
      </c>
      <c r="B16" s="14">
        <v>14</v>
      </c>
      <c r="C16" s="8">
        <f>'Предварительная Результативност'!H15</f>
        <v>6</v>
      </c>
      <c r="D16" s="45"/>
      <c r="E16" s="15">
        <f>'Результативность по предметам'!E16</f>
        <v>0</v>
      </c>
      <c r="F16" s="17">
        <f>'Результативность по предметам'!I16+нерезульт.выступление!F16+'Похвальные листы Школы Предметы'!D14</f>
        <v>1</v>
      </c>
      <c r="G16" s="17">
        <f>'Результативность по предметам'!J16+нерезульт.выступление!G16+'Похвальные листы Школы Предметы'!E14</f>
        <v>1</v>
      </c>
      <c r="H16" s="17">
        <f>'Результативность по предметам'!K16+нерезульт.выступление!H16+'Похвальные листы Школы Предметы'!F14</f>
        <v>0</v>
      </c>
      <c r="I16" s="17">
        <f>'Результативность по предметам'!L16+нерезульт.выступление!I16+'Похвальные листы Школы Предметы'!G14</f>
        <v>0</v>
      </c>
      <c r="J16" s="17">
        <f>'Результативность по предметам'!M16+нерезульт.выступление!J16+'Похвальные листы Школы Предметы'!H14</f>
        <v>0</v>
      </c>
      <c r="K16" s="17">
        <f>'Результативность по предметам'!N16+нерезульт.выступление!K16+'Похвальные листы Школы Предметы'!I14</f>
        <v>0</v>
      </c>
      <c r="L16" s="17">
        <f>'Результативность по предметам'!O16+нерезульт.выступление!L16+'Похвальные листы Школы Предметы'!J14</f>
        <v>0</v>
      </c>
      <c r="M16" s="17">
        <f>'Результативность по предметам'!P16+нерезульт.выступление!M16+'Похвальные листы Школы Предметы'!K14</f>
        <v>0</v>
      </c>
      <c r="N16" s="17">
        <f>'Результативность по предметам'!Q16+нерезульт.выступление!N16+'Похвальные листы Школы Предметы'!L14</f>
        <v>0</v>
      </c>
      <c r="O16" s="17">
        <f>'Результативность по предметам'!R16+нерезульт.выступление!O16+'Похвальные листы Школы Предметы'!M14</f>
        <v>0</v>
      </c>
      <c r="P16" s="17">
        <f>'Результативность по предметам'!S16+нерезульт.выступление!P16+'Похвальные листы Школы Предметы'!N14</f>
        <v>0</v>
      </c>
      <c r="Q16" s="17">
        <f>'Результативность по предметам'!T16+нерезульт.выступление!Q16+'Похвальные листы Школы Предметы'!O14</f>
        <v>0</v>
      </c>
      <c r="R16" s="17">
        <f>'Результативность по предметам'!U16+нерезульт.выступление!R16+'Похвальные листы Школы Предметы'!P14</f>
        <v>1</v>
      </c>
      <c r="S16" s="17">
        <f>'Результативность по предметам'!V16+нерезульт.выступление!S16+'Похвальные листы Школы Предметы'!Q14</f>
        <v>3</v>
      </c>
      <c r="T16" s="17">
        <f>'Результативность по предметам'!W16+нерезульт.выступление!T16+'Похвальные листы Школы Предметы'!R14</f>
        <v>0</v>
      </c>
      <c r="U16" s="40">
        <f>'Похвальные листы Школы Предметы'!C14</f>
        <v>3</v>
      </c>
    </row>
    <row r="17" spans="1:23" ht="33.75" customHeight="1" x14ac:dyDescent="0.25">
      <c r="A17" s="14" t="s">
        <v>20</v>
      </c>
      <c r="B17" s="14">
        <v>63</v>
      </c>
      <c r="C17" s="8">
        <f>'Предварительная Результативност'!H16</f>
        <v>13</v>
      </c>
      <c r="D17" s="45">
        <f t="shared" si="0"/>
        <v>0.23076923076923078</v>
      </c>
      <c r="E17" s="15">
        <f>'Результативность по предметам'!E17</f>
        <v>3</v>
      </c>
      <c r="F17" s="17">
        <f>'Результативность по предметам'!I17+нерезульт.выступление!F17+'Похвальные листы Школы Предметы'!D15</f>
        <v>0</v>
      </c>
      <c r="G17" s="17">
        <f>'Результативность по предметам'!J17+нерезульт.выступление!G17+'Похвальные листы Школы Предметы'!E15</f>
        <v>0</v>
      </c>
      <c r="H17" s="17">
        <f>'Результативность по предметам'!K17+нерезульт.выступление!H17+'Похвальные листы Школы Предметы'!F15</f>
        <v>0</v>
      </c>
      <c r="I17" s="17">
        <f>'Результативность по предметам'!L17+нерезульт.выступление!I17+'Похвальные листы Школы Предметы'!G15</f>
        <v>0</v>
      </c>
      <c r="J17" s="17">
        <f>'Результативность по предметам'!M17+нерезульт.выступление!J17+'Похвальные листы Школы Предметы'!H15</f>
        <v>0</v>
      </c>
      <c r="K17" s="17">
        <f>'Результативность по предметам'!N17+нерезульт.выступление!K17+'Похвальные листы Школы Предметы'!I15</f>
        <v>0</v>
      </c>
      <c r="L17" s="17">
        <f>'Результативность по предметам'!O17+нерезульт.выступление!L17+'Похвальные листы Школы Предметы'!J15</f>
        <v>0</v>
      </c>
      <c r="M17" s="17">
        <f>'Результативность по предметам'!P17+нерезульт.выступление!M17+'Похвальные листы Школы Предметы'!K15</f>
        <v>0</v>
      </c>
      <c r="N17" s="17">
        <f>'Результативность по предметам'!Q17+нерезульт.выступление!N17+'Похвальные листы Школы Предметы'!L15</f>
        <v>0</v>
      </c>
      <c r="O17" s="17">
        <f>'Результативность по предметам'!R17+нерезульт.выступление!O17+'Похвальные листы Школы Предметы'!M15</f>
        <v>1</v>
      </c>
      <c r="P17" s="17">
        <f>'Результативность по предметам'!S17+нерезульт.выступление!P17+'Похвальные листы Школы Предметы'!N15</f>
        <v>0</v>
      </c>
      <c r="Q17" s="17">
        <f>'Результативность по предметам'!T17+нерезульт.выступление!Q17+'Похвальные листы Школы Предметы'!O15</f>
        <v>0</v>
      </c>
      <c r="R17" s="17">
        <f>'Результативность по предметам'!U17+нерезульт.выступление!R17+'Похвальные листы Школы Предметы'!P15</f>
        <v>0</v>
      </c>
      <c r="S17" s="17">
        <f>'Результативность по предметам'!V17+нерезульт.выступление!S17+'Похвальные листы Школы Предметы'!Q15</f>
        <v>9</v>
      </c>
      <c r="T17" s="17">
        <f>'Результативность по предметам'!W17+нерезульт.выступление!T17+'Похвальные листы Школы Предметы'!R15</f>
        <v>3</v>
      </c>
      <c r="U17" s="40">
        <f>'Похвальные листы Школы Предметы'!C15</f>
        <v>6</v>
      </c>
      <c r="W17" s="38"/>
    </row>
    <row r="18" spans="1:23" ht="31.5" hidden="1" customHeight="1" x14ac:dyDescent="0.25">
      <c r="A18" s="14"/>
      <c r="B18" s="42"/>
      <c r="C18" s="8"/>
      <c r="D18" s="45"/>
      <c r="E18" s="15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0"/>
    </row>
    <row r="19" spans="1:23" ht="15.75" customHeight="1" x14ac:dyDescent="0.25">
      <c r="A19" s="14"/>
      <c r="B19" s="42"/>
      <c r="C19" s="8"/>
      <c r="D19" s="45"/>
      <c r="E19" s="15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40"/>
    </row>
    <row r="20" spans="1:23" ht="15.75" customHeight="1" x14ac:dyDescent="0.25">
      <c r="A20" s="14"/>
      <c r="B20" s="42"/>
      <c r="C20" s="8"/>
      <c r="D20" s="45"/>
      <c r="E20" s="15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40"/>
    </row>
    <row r="21" spans="1:23" ht="31.5" customHeight="1" x14ac:dyDescent="0.25">
      <c r="A21" s="22" t="s">
        <v>42</v>
      </c>
      <c r="B21" s="61">
        <f>SUM(B5:B17)</f>
        <v>658</v>
      </c>
      <c r="C21" s="60">
        <f>SUM(C5:C20)</f>
        <v>251</v>
      </c>
      <c r="D21" s="56">
        <f t="shared" si="0"/>
        <v>0.2151394422310757</v>
      </c>
      <c r="E21" s="55">
        <f>'Результативность по предметам'!E21</f>
        <v>54</v>
      </c>
      <c r="F21" s="24">
        <f>SUM(F5:F20)</f>
        <v>24</v>
      </c>
      <c r="G21" s="25">
        <f>SUM(G5:G20)</f>
        <v>15</v>
      </c>
      <c r="H21" s="26">
        <f t="shared" ref="H21:R21" si="1">SUM(H3:H20)</f>
        <v>7</v>
      </c>
      <c r="I21" s="27">
        <f t="shared" si="1"/>
        <v>3</v>
      </c>
      <c r="J21" s="28">
        <f t="shared" si="1"/>
        <v>23</v>
      </c>
      <c r="K21" s="29">
        <f t="shared" si="1"/>
        <v>6</v>
      </c>
      <c r="L21" s="30">
        <f t="shared" si="1"/>
        <v>13</v>
      </c>
      <c r="M21" s="31">
        <f t="shared" si="1"/>
        <v>17</v>
      </c>
      <c r="N21" s="29">
        <f t="shared" si="1"/>
        <v>15</v>
      </c>
      <c r="O21" s="32">
        <f t="shared" si="1"/>
        <v>34</v>
      </c>
      <c r="P21" s="26">
        <f t="shared" si="1"/>
        <v>7</v>
      </c>
      <c r="Q21" s="33">
        <f t="shared" si="1"/>
        <v>4</v>
      </c>
      <c r="R21" s="28">
        <f t="shared" si="1"/>
        <v>15</v>
      </c>
      <c r="S21" s="34">
        <f>SUM(S5:S17)</f>
        <v>32</v>
      </c>
      <c r="T21" s="34">
        <f>SUM(T5:T20)</f>
        <v>36</v>
      </c>
      <c r="U21" s="54">
        <f>SUM(U5:U20)</f>
        <v>53</v>
      </c>
      <c r="V21" s="38"/>
      <c r="W21" s="38"/>
    </row>
    <row r="22" spans="1:23" ht="15.75" customHeight="1" x14ac:dyDescent="0.25">
      <c r="A22" s="1"/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2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W23" s="38">
        <f>SUM(F21:T21)</f>
        <v>251</v>
      </c>
    </row>
    <row r="24" spans="1:2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23">
    <mergeCell ref="A1:U1"/>
    <mergeCell ref="R3:R4"/>
    <mergeCell ref="M3:M4"/>
    <mergeCell ref="N3:N4"/>
    <mergeCell ref="O3:O4"/>
    <mergeCell ref="P3:P4"/>
    <mergeCell ref="Q3:Q4"/>
    <mergeCell ref="L3:L4"/>
    <mergeCell ref="A2:A4"/>
    <mergeCell ref="B2:B4"/>
    <mergeCell ref="C2:C4"/>
    <mergeCell ref="D2:D4"/>
    <mergeCell ref="E2:E4"/>
    <mergeCell ref="U2:U4"/>
    <mergeCell ref="F3:F4"/>
    <mergeCell ref="F2:T2"/>
    <mergeCell ref="T3:T4"/>
    <mergeCell ref="S3:S4"/>
    <mergeCell ref="G3:G4"/>
    <mergeCell ref="H3:H4"/>
    <mergeCell ref="I3:I4"/>
    <mergeCell ref="J3:J4"/>
    <mergeCell ref="K3:K4"/>
  </mergeCells>
  <pageMargins left="0.19685039370078741" right="0.19685039370078741" top="1.7322834645669292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abSelected="1" topLeftCell="A2" zoomScale="110" zoomScaleNormal="110" workbookViewId="0">
      <selection activeCell="A5" sqref="A5"/>
    </sheetView>
  </sheetViews>
  <sheetFormatPr defaultRowHeight="15" x14ac:dyDescent="0.25"/>
  <cols>
    <col min="1" max="1" width="23.140625" customWidth="1"/>
    <col min="2" max="2" width="6.28515625" customWidth="1"/>
    <col min="3" max="3" width="7.7109375" customWidth="1"/>
    <col min="4" max="4" width="9.85546875" customWidth="1"/>
    <col min="5" max="7" width="5.28515625" customWidth="1"/>
    <col min="8" max="8" width="4.85546875" customWidth="1"/>
    <col min="9" max="9" width="3.85546875" customWidth="1"/>
    <col min="10" max="10" width="5.28515625" customWidth="1"/>
    <col min="11" max="11" width="4.5703125" customWidth="1"/>
    <col min="12" max="12" width="4.7109375" customWidth="1"/>
    <col min="13" max="13" width="5.7109375" customWidth="1"/>
    <col min="14" max="14" width="4.28515625" customWidth="1"/>
    <col min="15" max="15" width="4.140625" customWidth="1"/>
    <col min="16" max="16" width="5.5703125" customWidth="1"/>
    <col min="17" max="20" width="5" customWidth="1"/>
    <col min="21" max="21" width="5.28515625" customWidth="1"/>
    <col min="22" max="22" width="4" customWidth="1"/>
    <col min="23" max="23" width="7.85546875" customWidth="1"/>
  </cols>
  <sheetData>
    <row r="1" spans="1:23" ht="63.75" customHeight="1" thickBot="1" x14ac:dyDescent="0.3">
      <c r="A1" s="261" t="s">
        <v>148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3"/>
      <c r="W1" s="81"/>
    </row>
    <row r="2" spans="1:23" ht="20.25" customHeight="1" x14ac:dyDescent="0.25">
      <c r="A2" s="187" t="s">
        <v>401</v>
      </c>
      <c r="B2" s="190" t="s">
        <v>43</v>
      </c>
      <c r="C2" s="193" t="s">
        <v>30</v>
      </c>
      <c r="D2" s="196" t="s">
        <v>44</v>
      </c>
      <c r="E2" s="265" t="s">
        <v>120</v>
      </c>
      <c r="F2" s="258" t="s">
        <v>124</v>
      </c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60"/>
      <c r="U2" s="266" t="s">
        <v>123</v>
      </c>
      <c r="V2" s="269" t="s">
        <v>24</v>
      </c>
    </row>
    <row r="3" spans="1:23" ht="20.25" customHeight="1" x14ac:dyDescent="0.25">
      <c r="A3" s="244"/>
      <c r="B3" s="245"/>
      <c r="C3" s="264"/>
      <c r="D3" s="247"/>
      <c r="E3" s="265"/>
      <c r="F3" s="254" t="s">
        <v>31</v>
      </c>
      <c r="G3" s="233" t="s">
        <v>32</v>
      </c>
      <c r="H3" s="234" t="s">
        <v>33</v>
      </c>
      <c r="I3" s="235" t="s">
        <v>34</v>
      </c>
      <c r="J3" s="236" t="s">
        <v>35</v>
      </c>
      <c r="K3" s="237" t="s">
        <v>36</v>
      </c>
      <c r="L3" s="243" t="s">
        <v>37</v>
      </c>
      <c r="M3" s="240" t="s">
        <v>38</v>
      </c>
      <c r="N3" s="237" t="s">
        <v>39</v>
      </c>
      <c r="O3" s="241" t="s">
        <v>46</v>
      </c>
      <c r="P3" s="234" t="s">
        <v>47</v>
      </c>
      <c r="Q3" s="242" t="s">
        <v>48</v>
      </c>
      <c r="R3" s="236" t="s">
        <v>49</v>
      </c>
      <c r="S3" s="232" t="s">
        <v>50</v>
      </c>
      <c r="T3" s="222" t="s">
        <v>251</v>
      </c>
      <c r="U3" s="267"/>
      <c r="V3" s="269"/>
    </row>
    <row r="4" spans="1:23" ht="104.25" customHeight="1" x14ac:dyDescent="0.25">
      <c r="A4" s="244"/>
      <c r="B4" s="245"/>
      <c r="C4" s="264"/>
      <c r="D4" s="247"/>
      <c r="E4" s="182"/>
      <c r="F4" s="254"/>
      <c r="G4" s="233"/>
      <c r="H4" s="234"/>
      <c r="I4" s="235"/>
      <c r="J4" s="236"/>
      <c r="K4" s="237"/>
      <c r="L4" s="243"/>
      <c r="M4" s="240"/>
      <c r="N4" s="237"/>
      <c r="O4" s="241"/>
      <c r="P4" s="234"/>
      <c r="Q4" s="242"/>
      <c r="R4" s="236"/>
      <c r="S4" s="232"/>
      <c r="T4" s="223"/>
      <c r="U4" s="268"/>
      <c r="V4" s="270"/>
    </row>
    <row r="5" spans="1:23" ht="15" customHeight="1" x14ac:dyDescent="0.25">
      <c r="A5" s="14" t="s">
        <v>13</v>
      </c>
      <c r="B5" s="92">
        <v>135</v>
      </c>
      <c r="C5" s="8">
        <f>'Предварительная Результативност'!H4</f>
        <v>58</v>
      </c>
      <c r="D5" s="50">
        <f t="shared" ref="D5:D17" si="0">E5/C5</f>
        <v>0.22413793103448276</v>
      </c>
      <c r="E5" s="135">
        <f>'Результативность по предметам'!E5</f>
        <v>13</v>
      </c>
      <c r="F5" s="17">
        <f>COUNTIFS('Самопроверка по школам'!$D$2:$D$259,"СШ №1 г.Сенно",'Самопроверка по школам'!$E$2:$E$259,"бел.яз и лит.",'Самопроверка по школам'!$J$2:$J$259,"")</f>
        <v>1</v>
      </c>
      <c r="G5" s="17">
        <f>COUNTIFS('Самопроверка по школам'!$D$2:$D$259,"СШ №1 г.Сенно",'Самопроверка по школам'!$E$2:$E$259,"Русский язык и литература",'Самопроверка по школам'!$J$2:$J$259,"")</f>
        <v>0</v>
      </c>
      <c r="H5" s="17">
        <f>COUNTIFS('Самопроверка по школам'!$J$2:$J$259,"",'Самопроверка по школам'!$E$2:$E$259,"Английский язык",'Самопроверка по школам'!$D$2:$D$259,"СШ №1 г.Сенно")</f>
        <v>1</v>
      </c>
      <c r="I5" s="17">
        <f>COUNTIFS('Самопроверка по школам'!$J$2:$J$259,"",'Самопроверка по школам'!$E$2:$E$259,"нем.яз.",'Самопроверка по школам'!$D$2:$D$259,"СШ №1 г.Сенно")</f>
        <v>0</v>
      </c>
      <c r="J5" s="17">
        <f>COUNTIFS('Самопроверка по школам'!$D$2:$D$259,"СШ №1 г.Сенно",'Самопроверка по школам'!$E$2:$E$259,"математика",'Самопроверка по школам'!$J$2:$J$259,"")</f>
        <v>3</v>
      </c>
      <c r="K5" s="17">
        <f>COUNTIFS('Самопроверка по школам'!$D$2:$D$259,"СШ №1 г.Сенно",'Самопроверка по школам'!$E$2:$E$259,"информатика",'Самопроверка по школам'!$J$2:$J$259,"")</f>
        <v>1</v>
      </c>
      <c r="L5" s="17">
        <f>COUNTIFS('Самопроверка по школам'!$D$2:$D$259,"СШ №1 г.Сенно",'Самопроверка по школам'!$E$2:$E$259,"история",'Самопроверка по школам'!$J$2:$J$259,"")</f>
        <v>2</v>
      </c>
      <c r="M5" s="17">
        <f>COUNTIFS('Самопроверка по школам'!$D$2:$D$259,"СШ №1 г.Сенно",'Самопроверка по школам'!$E$2:$E$259,"обществоведение",'Самопроверка по школам'!$J$2:$J$259,"")</f>
        <v>6</v>
      </c>
      <c r="N5" s="17">
        <f>COUNTIFS('Самопроверка по школам'!$D$2:$D$259,"СШ №1 г.Сенно",'Самопроверка по школам'!$E$2:$E$259,"география",'Самопроверка по школам'!$J$2:$J$259,"")</f>
        <v>1</v>
      </c>
      <c r="O5" s="17">
        <f>COUNTIFS('Самопроверка по школам'!$J$2:$J$259,"",'Самопроверка по школам'!$E$2:$E$259,"Биология",'Самопроверка по школам'!$D$2:$D$259,"СШ №1 г.Сенно")</f>
        <v>6</v>
      </c>
      <c r="P5" s="17">
        <f>COUNTIFS('Самопроверка по школам'!$D$2:$D$259,"СШ №1 г.Сенно",'Самопроверка по школам'!$E$2:$E$259,"физика",'Самопроверка по школам'!$J$2:$J$259,"")</f>
        <v>1</v>
      </c>
      <c r="Q5" s="17">
        <f>COUNTIFS('Самопроверка по школам'!$J$2:$J$259,"",'Самопроверка по школам'!$E$2:$E$259,"астрономия",'Самопроверка по школам'!$D$2:$D$259,"СШ №1 г.Сенно")</f>
        <v>1</v>
      </c>
      <c r="R5" s="17">
        <f>COUNTIFS('Самопроверка по школам'!$J$2:$J$259,"",'Самопроверка по школам'!$E$2:$E$259,"химия",'Самопроверка по школам'!$D$2:$D$259,"СШ №1 г.Сенно")</f>
        <v>4</v>
      </c>
      <c r="S5" s="17">
        <f>COUNTIFS('Самопроверка по школам'!$J$2:$J$259,"",'Самопроверка по школам'!$E$2:$E$259,"Трудовое обучение",'Самопроверка по школам'!$D$2:$D$259,"СШ №1 г.Сенно")</f>
        <v>2</v>
      </c>
      <c r="T5" s="17">
        <f>COUNTIFS('Самопроверка по школам'!$J$2:$J$259,"",'Самопроверка по школам'!$E$2:$E$259,"физическая культура и здоровье",'Самопроверка по школам'!$D$2:$D$259,"СШ №1 г.Сенно")</f>
        <v>4</v>
      </c>
      <c r="U5" s="136">
        <f>SUM(F5:T5)</f>
        <v>33</v>
      </c>
      <c r="V5" s="75">
        <f>C5-E5-U5</f>
        <v>12</v>
      </c>
      <c r="W5" s="38"/>
    </row>
    <row r="6" spans="1:23" ht="15.75" customHeight="1" x14ac:dyDescent="0.25">
      <c r="A6" s="14" t="s">
        <v>10</v>
      </c>
      <c r="B6" s="92">
        <v>149</v>
      </c>
      <c r="C6" s="8">
        <f>'Предварительная Результативност'!H5</f>
        <v>64</v>
      </c>
      <c r="D6" s="50">
        <f t="shared" si="0"/>
        <v>0.328125</v>
      </c>
      <c r="E6" s="135">
        <f>'Результативность по предметам'!E6</f>
        <v>21</v>
      </c>
      <c r="F6" s="17">
        <f>COUNTIFS('Самопроверка по школам'!$D$2:$D$259,"СШ №2г.Сенно",'Самопроверка по школам'!$E$2:$E$259,"бел.яз и лит.",'Самопроверка по школам'!$J$2:$J$259,"")</f>
        <v>3</v>
      </c>
      <c r="G6" s="17">
        <f>COUNTIFS('Самопроверка по школам'!$D$2:$D$259,"СШ №2г.Сенно",'Самопроверка по школам'!$E$2:$E$259,"Русский язык и литература",'Самопроверка по школам'!$J$2:$J$259,"")</f>
        <v>0</v>
      </c>
      <c r="H6" s="17">
        <f>COUNTIFS('Самопроверка по школам'!$J$2:$J$259,"",'Самопроверка по школам'!$E$2:$E$259,"Английский язык",'Самопроверка по школам'!$D$2:$D$259,"СШ №2г.Сенно")</f>
        <v>0</v>
      </c>
      <c r="I6" s="17">
        <f>COUNTIFS('Самопроверка по школам'!$J$2:$J$259,"",'Самопроверка по школам'!$E$2:$E$259,"нем.яз.",'Самопроверка по школам'!$D$2:$D$259,"СШ №2г.Сенно")</f>
        <v>0</v>
      </c>
      <c r="J6" s="17">
        <f>COUNTIFS('Самопроверка по школам'!$D$2:$D$259,"СШ №2г.Сенно",'Самопроверка по школам'!$E$2:$E$259,"математика",'Самопроверка по школам'!$J$2:$J$259,"")</f>
        <v>6</v>
      </c>
      <c r="K6" s="17">
        <f>COUNTIFS('Самопроверка по школам'!$D$2:$D$259,"СШ №2г.Сенно",'Самопроверка по школам'!$E$2:$E$259,"информатика",'Самопроверка по школам'!$J$2:$J$259,"")</f>
        <v>0</v>
      </c>
      <c r="L6" s="17">
        <f>COUNTIFS('Самопроверка по школам'!$D$2:$D$259,"СШ №2г.Сенно",'Самопроверка по школам'!$E$2:$E$259,"история",'Самопроверка по школам'!$J$2:$J$259,"")</f>
        <v>4</v>
      </c>
      <c r="M6" s="17">
        <f>COUNTIFS('Самопроверка по школам'!$D$2:$D$259,"СШ №2г.Сенно",'Самопроверка по школам'!$E$2:$E$259,"обществоведение",'Самопроверка по школам'!$J$2:$J$259,"")</f>
        <v>2</v>
      </c>
      <c r="N6" s="17">
        <f>COUNTIFS('Самопроверка по школам'!$D$2:$D$259,"СШ №2г.Сенно",'Самопроверка по школам'!$E$2:$E$259,"география",'Самопроверка по школам'!$J$2:$J$259,"")</f>
        <v>3</v>
      </c>
      <c r="O6" s="17">
        <f>COUNTIFS('Самопроверка по школам'!$J$2:$J$259,"",'Самопроверка по школам'!$E$2:$E$259,"Биология",'Самопроверка по школам'!$D$2:$D$259,"СШ №2г.Сенно")</f>
        <v>4</v>
      </c>
      <c r="P6" s="17">
        <f>COUNTIFS('Самопроверка по школам'!$D$2:$D$259,"СШ №2г.Сенно",'Самопроверка по школам'!$E$2:$E$259,"физика",'Самопроверка по школам'!$J$2:$J$259,"")</f>
        <v>2</v>
      </c>
      <c r="Q6" s="17">
        <f>COUNTIFS('Самопроверка по школам'!$J$2:$J$259,"",'Самопроверка по школам'!$E$2:$E$259,"астрономия",'Самопроверка по школам'!$D$2:$D$259,"СШ №2г.Сенно")</f>
        <v>1</v>
      </c>
      <c r="R6" s="17">
        <f>COUNTIFS('Самопроверка по школам'!$J$2:$J$259,"",'Самопроверка по школам'!$E$2:$E$259,"химия",'Самопроверка по школам'!$D$2:$D$259,"СШ №2г.Сенно")</f>
        <v>3</v>
      </c>
      <c r="S6" s="17">
        <f>COUNTIFS('Самопроверка по школам'!$J$2:$J$259,"",'Самопроверка по школам'!$E$2:$E$259,"Трудовое обучение",'Самопроверка по школам'!$D$2:$D$259,"СШ №2г.Сенно")</f>
        <v>0</v>
      </c>
      <c r="T6" s="17">
        <f>COUNTIFS('Самопроверка по школам'!$J$2:$J$259,"",'Самопроверка по школам'!$E$2:$E$259,"физическая культура и здоровье",'Самопроверка по школам'!$D$2:$D$259,"СШ №2г.Сенно")</f>
        <v>1</v>
      </c>
      <c r="U6" s="136">
        <f t="shared" ref="U6:U17" si="1">SUM(F6:T6)</f>
        <v>29</v>
      </c>
      <c r="V6" s="75">
        <f t="shared" ref="V6:V17" si="2">C6-E6-U6</f>
        <v>14</v>
      </c>
      <c r="W6" s="38"/>
    </row>
    <row r="7" spans="1:23" ht="15.75" hidden="1" customHeight="1" x14ac:dyDescent="0.25">
      <c r="A7" s="14"/>
      <c r="B7" s="92"/>
      <c r="C7" s="8"/>
      <c r="D7" s="50"/>
      <c r="E7" s="135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36"/>
      <c r="V7" s="75"/>
      <c r="W7" s="38"/>
    </row>
    <row r="8" spans="1:23" ht="15.75" customHeight="1" x14ac:dyDescent="0.25">
      <c r="A8" s="14" t="s">
        <v>252</v>
      </c>
      <c r="B8" s="92">
        <v>129</v>
      </c>
      <c r="C8" s="8">
        <f>'Предварительная Результативност'!H7</f>
        <v>34</v>
      </c>
      <c r="D8" s="50">
        <f t="shared" si="0"/>
        <v>0.14705882352941177</v>
      </c>
      <c r="E8" s="135">
        <f>'Результативность по предметам'!E8</f>
        <v>5</v>
      </c>
      <c r="F8" s="17">
        <f>COUNTIFS('Самопроверка по школам'!$D$2:$D$259,"Богушевская СШ",'Самопроверка по школам'!$E$2:$E$259,"бел.яз и лит.",'Самопроверка по школам'!$J$2:$J$259,"")</f>
        <v>2</v>
      </c>
      <c r="G8" s="17">
        <f>COUNTIFS('Самопроверка по школам'!$D$2:$D$259,"Богушевская СШ",'Самопроверка по школам'!$E$2:$E$259,"Русский язык и литература",'Самопроверка по школам'!$J$2:$J$259,"")</f>
        <v>0</v>
      </c>
      <c r="H8" s="17">
        <f>COUNTIFS('Самопроверка по школам'!$J$2:$J$259,"",'Самопроверка по школам'!$E$2:$E$259,"Английский язык",'Самопроверка по школам'!$D$2:$D$259,"Богушевская СШ")</f>
        <v>2</v>
      </c>
      <c r="I8" s="17">
        <f>COUNTIFS('Самопроверка по школам'!$J$2:$J$259,"",'Самопроверка по школам'!$E$2:$E$259,"нем.яз.",'Самопроверка по школам'!$D$2:$D$259,"Богушевская СШ")</f>
        <v>0</v>
      </c>
      <c r="J8" s="17">
        <f>COUNTIFS('Самопроверка по школам'!$D$2:$D$259,"Богушевская СШ",'Самопроверка по школам'!$E$2:$E$259,"математика",'Самопроверка по школам'!$J$2:$J$259,"")</f>
        <v>6</v>
      </c>
      <c r="K8" s="17">
        <f>COUNTIFS('Самопроверка по школам'!$D$2:$D$259,"Богушевская СШ",'Самопроверка по школам'!$E$2:$E$259,"информатика",'Самопроверка по школам'!$J$2:$J$259,"")</f>
        <v>2</v>
      </c>
      <c r="L8" s="17">
        <f>COUNTIFS('Самопроверка по школам'!$D$2:$D$259,"Богушевская СШ",'Самопроверка по школам'!$E$2:$E$259,"история",'Самопроверка по школам'!$J$2:$J$259,"")</f>
        <v>2</v>
      </c>
      <c r="M8" s="17">
        <f>COUNTIFS('Самопроверка по школам'!$D$2:$D$259,"Богушевская СШ",'Самопроверка по школам'!$E$2:$E$259,"обществоведение",'Самопроверка по школам'!$J$2:$J$259,"")</f>
        <v>0</v>
      </c>
      <c r="N8" s="17">
        <f>COUNTIFS('Самопроверка по школам'!$D$2:$D$259,"Богушевская СШ",'Самопроверка по школам'!$E$2:$E$259,"география",'Самопроверка по школам'!$J$2:$J$259,"")</f>
        <v>1</v>
      </c>
      <c r="O8" s="17">
        <f>COUNTIFS('Самопроверка по школам'!$J$2:$J$259,"",'Самопроверка по школам'!$E$2:$E$259,"Биология",'Самопроверка по школам'!$D$2:$D$259,"Богушевская СШ")</f>
        <v>5</v>
      </c>
      <c r="P8" s="17">
        <f>COUNTIFS('Самопроверка по школам'!$D$2:$D$259,"Богушевская СШ",'Самопроверка по школам'!$E$2:$E$259,"физика",'Самопроверка по школам'!$J$2:$J$259,"")</f>
        <v>1</v>
      </c>
      <c r="Q8" s="17">
        <f>COUNTIFS('Самопроверка по школам'!$J$2:$J$259,"",'Самопроверка по школам'!$E$2:$E$259,"астрономия",'Самопроверка по школам'!$D$2:$D$259,"Богушевская СШ")</f>
        <v>0</v>
      </c>
      <c r="R8" s="17">
        <f>COUNTIFS('Самопроверка по школам'!$J$2:$J$259,"",'Самопроверка по школам'!$E$2:$E$259,"химия",'Самопроверка по школам'!$D$2:$D$259,"Богушевская СШ")</f>
        <v>0</v>
      </c>
      <c r="S8" s="17">
        <f>COUNTIFS('Самопроверка по школам'!$J$2:$J$259,"",'Самопроверка по школам'!$E$2:$E$259,"Трудовое обучение",'Самопроверка по школам'!$D$2:$D$259,"Богушевская СШ")</f>
        <v>2</v>
      </c>
      <c r="T8" s="17">
        <f>COUNTIFS('Самопроверка по школам'!$J$2:$J$259,"",'Самопроверка по школам'!$E$2:$E$259,"физическая культура и здоровье",'Самопроверка по школам'!$D$2:$D$259,"Богушевская СШ")</f>
        <v>3</v>
      </c>
      <c r="U8" s="136">
        <f t="shared" si="1"/>
        <v>26</v>
      </c>
      <c r="V8" s="75">
        <f t="shared" si="2"/>
        <v>3</v>
      </c>
      <c r="W8" s="38"/>
    </row>
    <row r="9" spans="1:23" ht="15.75" customHeight="1" x14ac:dyDescent="0.25">
      <c r="A9" s="14" t="s">
        <v>15</v>
      </c>
      <c r="B9" s="92">
        <v>24</v>
      </c>
      <c r="C9" s="8">
        <f>'Предварительная Результативност'!H8</f>
        <v>16</v>
      </c>
      <c r="D9" s="50">
        <f t="shared" si="0"/>
        <v>6.25E-2</v>
      </c>
      <c r="E9" s="135">
        <f>'Результативность по предметам'!E9</f>
        <v>1</v>
      </c>
      <c r="F9" s="17">
        <f>COUNTIFS('Самопроверка по школам'!$D$2:$D$259,"Белицкая ДССШ",'Самопроверка по школам'!$E$2:$E$259,"бел.яз и лит.",'Самопроверка по школам'!$J$2:$J$259,"")</f>
        <v>0</v>
      </c>
      <c r="G9" s="17">
        <f>COUNTIFS('Самопроверка по школам'!$D$2:$D$259,"Белицкая ДССШ",'Самопроверка по школам'!$E$2:$E$259,"Русский язык и литература",'Самопроверка по школам'!$J$2:$J$259,"")</f>
        <v>1</v>
      </c>
      <c r="H9" s="17">
        <f>COUNTIFS('Самопроверка по школам'!$J$2:$J$259,"",'Самопроверка по школам'!$E$2:$E$259,"Английский язык",'Самопроверка по школам'!$D$2:$D$259,"Белицкая ДССШ")</f>
        <v>0</v>
      </c>
      <c r="I9" s="17">
        <f>COUNTIFS('Самопроверка по школам'!$J$2:$J$259,"",'Самопроверка по школам'!$E$2:$E$259,"нем.яз.",'Самопроверка по школам'!$D$2:$D$259,"Белицкая ДССШ")</f>
        <v>0</v>
      </c>
      <c r="J9" s="17">
        <f>COUNTIFS('Самопроверка по школам'!$D$2:$D$259,"Белицкая ДССШ",'Самопроверка по школам'!$E$2:$E$259,"математика",'Самопроверка по школам'!$J$2:$J$259,"")</f>
        <v>2</v>
      </c>
      <c r="K9" s="17">
        <f>COUNTIFS('Самопроверка по школам'!$D$2:$D$259,"Белицкая ДССШ",'Самопроверка по школам'!$E$2:$E$259,"информатика",'Самопроверка по школам'!$J$2:$J$259,"")</f>
        <v>0</v>
      </c>
      <c r="L9" s="17">
        <f>COUNTIFS('Самопроверка по школам'!$D$2:$D$259,"Белицкая ДССШ",'Самопроверка по школам'!$E$2:$E$259,"история",'Самопроверка по школам'!$J$2:$J$259,"")</f>
        <v>1</v>
      </c>
      <c r="M9" s="17">
        <f>COUNTIFS('Самопроверка по школам'!$D$2:$D$259,"Белицкая ДССШ",'Самопроверка по школам'!$E$2:$E$259,"обществоведение",'Самопроверка по школам'!$J$2:$J$259,"")</f>
        <v>1</v>
      </c>
      <c r="N9" s="17">
        <f>COUNTIFS('Самопроверка по школам'!$D$2:$D$259,"Белицкая ДССШ",'Самопроверка по школам'!$E$2:$E$259,"география",'Самопроверка по школам'!$J$2:$J$259,"")</f>
        <v>1</v>
      </c>
      <c r="O9" s="17">
        <f>COUNTIFS('Самопроверка по школам'!$J$2:$J$259,"",'Самопроверка по школам'!$E$2:$E$259,"Биология",'Самопроверка по школам'!$D$2:$D$259,"Белицкая ДССШ")</f>
        <v>1</v>
      </c>
      <c r="P9" s="17">
        <f>COUNTIFS('Самопроверка по школам'!$D$2:$D$259,"Белицкая ДССШ",'Самопроверка по школам'!$E$2:$E$259,"физика",'Самопроверка по школам'!$J$2:$J$259,"")</f>
        <v>1</v>
      </c>
      <c r="Q9" s="17">
        <f>COUNTIFS('Самопроверка по школам'!$J$2:$J$259,"",'Самопроверка по школам'!$E$2:$E$259,"астрономия",'Самопроверка по школам'!$D$2:$D$259,"Белицкая ДССШ")</f>
        <v>0</v>
      </c>
      <c r="R9" s="17">
        <f>COUNTIFS('Самопроверка по школам'!$J$2:$J$259,"",'Самопроверка по школам'!$E$2:$E$259,"химия",'Самопроверка по школам'!$D$2:$D$259,"Белицкая ДССШ")</f>
        <v>1</v>
      </c>
      <c r="S9" s="17">
        <f>COUNTIFS('Самопроверка по школам'!$J$2:$J$259,"",'Самопроверка по школам'!$E$2:$E$259,"Трудовое обучение",'Самопроверка по школам'!$D$2:$D$259,"Белицкая ДССШ")</f>
        <v>1</v>
      </c>
      <c r="T9" s="17">
        <f>COUNTIFS('Самопроверка по школам'!$J$2:$J$259,"",'Самопроверка по школам'!$E$2:$E$259,"физическая культура и здоровье",'Самопроверка по школам'!$D$2:$D$259,"Белицкая ДССШ")</f>
        <v>2</v>
      </c>
      <c r="U9" s="136">
        <f t="shared" si="1"/>
        <v>12</v>
      </c>
      <c r="V9" s="75">
        <f t="shared" si="2"/>
        <v>3</v>
      </c>
      <c r="W9" s="38"/>
    </row>
    <row r="10" spans="1:23" ht="15.75" hidden="1" customHeight="1" x14ac:dyDescent="0.25">
      <c r="A10" s="14"/>
      <c r="B10" s="92"/>
      <c r="C10" s="8"/>
      <c r="D10" s="50"/>
      <c r="E10" s="135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36"/>
      <c r="V10" s="75"/>
      <c r="W10" s="38"/>
    </row>
    <row r="11" spans="1:23" ht="15.75" customHeight="1" x14ac:dyDescent="0.25">
      <c r="A11" s="14" t="s">
        <v>16</v>
      </c>
      <c r="B11" s="92">
        <v>19</v>
      </c>
      <c r="C11" s="8">
        <f>'Предварительная Результативност'!H10</f>
        <v>5</v>
      </c>
      <c r="D11" s="50">
        <f t="shared" si="0"/>
        <v>0.4</v>
      </c>
      <c r="E11" s="135">
        <f>'Результативность по предметам'!E11</f>
        <v>2</v>
      </c>
      <c r="F11" s="17">
        <f>COUNTIFS('Самопроверка по школам'!$D$2:$D$259,"Коковчинская ДССШ",'Самопроверка по школам'!$E$2:$E$259,"бел.яз и лит.",'Самопроверка по школам'!$J$2:$J$259,"")</f>
        <v>0</v>
      </c>
      <c r="G11" s="17">
        <f>COUNTIFS('Самопроверка по школам'!$D$2:$D$259,"Коковчинская ДССШ",'Самопроверка по школам'!$E$2:$E$259,"Русский язык и литература",'Самопроверка по школам'!$J$2:$J$259,"")</f>
        <v>0</v>
      </c>
      <c r="H11" s="17">
        <f>COUNTIFS('Самопроверка по школам'!$J$2:$J$259,"",'Самопроверка по школам'!$E$2:$E$259,"Английский язык",'Самопроверка по школам'!$D$2:$D$259,"Коковчинская ДССШ")</f>
        <v>0</v>
      </c>
      <c r="I11" s="17">
        <f>COUNTIFS('Самопроверка по школам'!$J$2:$J$259,"",'Самопроверка по школам'!$E$2:$E$259,"нем.яз.",'Самопроверка по школам'!$D$2:$D$259,"Коковчинская ДССШ")</f>
        <v>0</v>
      </c>
      <c r="J11" s="17">
        <f>COUNTIFS('Самопроверка по школам'!$D$2:$D$259,"Коковчинская ДССШ",'Самопроверка по школам'!$E$2:$E$259,"математика",'Самопроверка по школам'!$J$2:$J$259,"")</f>
        <v>0</v>
      </c>
      <c r="K11" s="17">
        <f>COUNTIFS('Самопроверка по школам'!$D$2:$D$259,"Коковчинская ДССШ",'Самопроверка по школам'!$E$2:$E$259,"информатика",'Самопроверка по школам'!$J$2:$J$259,"")</f>
        <v>0</v>
      </c>
      <c r="L11" s="17">
        <f>COUNTIFS('Самопроверка по школам'!$D$2:$D$259,"Коковчинская ДССШ",'Самопроверка по школам'!$E$2:$E$259,"история",'Самопроверка по школам'!$J$2:$J$259,"")</f>
        <v>0</v>
      </c>
      <c r="M11" s="17">
        <f>COUNTIFS('Самопроверка по школам'!$D$2:$D$259,"Коковчинская ДССШ",'Самопроверка по школам'!$E$2:$E$259,"обществоведение",'Самопроверка по школам'!$J$2:$J$259,"")</f>
        <v>0</v>
      </c>
      <c r="N11" s="17">
        <f>COUNTIFS('Самопроверка по школам'!$D$2:$D$259,"Коковчинская ДССШ",'Самопроверка по школам'!$E$2:$E$259,"география",'Самопроверка по школам'!$J$2:$J$259,"")</f>
        <v>0</v>
      </c>
      <c r="O11" s="17">
        <f>COUNTIFS('Самопроверка по школам'!$J$2:$J$259,"",'Самопроверка по школам'!$E$2:$E$259,"Биология",'Самопроверка по школам'!$D$2:$D$259,"Коковчинская ДССШ")</f>
        <v>2</v>
      </c>
      <c r="P11" s="17">
        <f>COUNTIFS('Самопроверка по школам'!$D$2:$D$259,"Коковчинская ДССШ",'Самопроверка по школам'!$E$2:$E$259,"физика",'Самопроверка по школам'!$J$2:$J$259,"")</f>
        <v>0</v>
      </c>
      <c r="Q11" s="17">
        <f>COUNTIFS('Самопроверка по школам'!$J$2:$J$259,"",'Самопроверка по школам'!$E$2:$E$259,"астрономия",'Самопроверка по школам'!$D$2:$D$259,"Коковчинская ДССШ")</f>
        <v>0</v>
      </c>
      <c r="R11" s="17">
        <f>COUNTIFS('Самопроверка по школам'!$J$2:$J$259,"",'Самопроверка по школам'!$E$2:$E$259,"химия",'Самопроверка по школам'!$D$2:$D$259,"Коковчинская ДССШ")</f>
        <v>0</v>
      </c>
      <c r="S11" s="17">
        <f>COUNTIFS('Самопроверка по школам'!$J$2:$J$259,"",'Самопроверка по школам'!$E$2:$E$259,"Трудовое обучение",'Самопроверка по школам'!$D$2:$D$259,"Коковчинская ДССШ")</f>
        <v>0</v>
      </c>
      <c r="T11" s="17">
        <f>COUNTIFS('Самопроверка по школам'!$J$2:$J$259,"",'Самопроверка по школам'!$E$2:$E$259,"физическая культура и здоровье",'Самопроверка по школам'!$D$2:$D$259,"Коковчинская ДССШ")</f>
        <v>1</v>
      </c>
      <c r="U11" s="136">
        <f t="shared" si="1"/>
        <v>3</v>
      </c>
      <c r="V11" s="75">
        <f t="shared" si="2"/>
        <v>0</v>
      </c>
      <c r="W11" s="38"/>
    </row>
    <row r="12" spans="1:23" ht="15.75" customHeight="1" x14ac:dyDescent="0.25">
      <c r="A12" s="14" t="s">
        <v>14</v>
      </c>
      <c r="B12" s="92">
        <v>66</v>
      </c>
      <c r="C12" s="8">
        <f>'Предварительная Результативност'!H11</f>
        <v>37</v>
      </c>
      <c r="D12" s="50">
        <f t="shared" si="0"/>
        <v>8.1081081081081086E-2</v>
      </c>
      <c r="E12" s="135">
        <f>'Результативность по предметам'!E12</f>
        <v>3</v>
      </c>
      <c r="F12" s="17">
        <f>COUNTIFS('Самопроверка по школам'!$D$2:$D$259,"Мошканская ДССШ",'Самопроверка по школам'!$E$2:$E$259,"бел.яз и лит.",'Самопроверка по школам'!$J$2:$J$259,"")</f>
        <v>0</v>
      </c>
      <c r="G12" s="17">
        <f>COUNTIFS('Самопроверка по школам'!$D$2:$D$259,"Мошканская ДССШ",'Самопроверка по школам'!$E$2:$E$259,"Русский язык и литература",'Самопроверка по школам'!$J$2:$J$259,"")</f>
        <v>0</v>
      </c>
      <c r="H12" s="17">
        <f>COUNTIFS('Самопроверка по школам'!$J$2:$J$259,"",'Самопроверка по школам'!$E$2:$E$259,"Английский язык",'Самопроверка по школам'!$D$2:$D$259,"Мошканская ДССШ")</f>
        <v>0</v>
      </c>
      <c r="I12" s="17">
        <f>COUNTIFS('Самопроверка по школам'!$J$2:$J$259,"",'Самопроверка по школам'!$E$2:$E$259,"нем.яз.",'Самопроверка по школам'!$D$2:$D$259,"Мошканская ДССШ")</f>
        <v>2</v>
      </c>
      <c r="J12" s="17">
        <f>COUNTIFS('Самопроверка по школам'!$D$2:$D$259,"Мошканская ДССШ",'Самопроверка по школам'!$E$2:$E$259,"математика",'Самопроверка по школам'!$J$2:$J$259,"")</f>
        <v>2</v>
      </c>
      <c r="K12" s="17">
        <f>COUNTIFS('Самопроверка по школам'!$D$2:$D$259,"Мошканская ДССШ",'Самопроверка по школам'!$E$2:$E$259,"информатика",'Самопроверка по школам'!$J$2:$J$259,"")</f>
        <v>0</v>
      </c>
      <c r="L12" s="17">
        <f>COUNTIFS('Самопроверка по школам'!$D$2:$D$259,"Мошканская ДССШ",'Самопроверка по школам'!$E$2:$E$259,"история",'Самопроверка по школам'!$J$2:$J$259,"")</f>
        <v>1</v>
      </c>
      <c r="M12" s="17">
        <f>COUNTIFS('Самопроверка по школам'!$D$2:$D$259,"Мошканская ДССШ",'Самопроверка по школам'!$E$2:$E$259,"обществоведение",'Самопроверка по школам'!$J$2:$J$259,"")</f>
        <v>2</v>
      </c>
      <c r="N12" s="17">
        <f>COUNTIFS('Самопроверка по школам'!$D$2:$D$259,"Мошканская ДССШ",'Самопроверка по школам'!$E$2:$E$259,"география",'Самопроверка по школам'!$J$2:$J$259,"")</f>
        <v>3</v>
      </c>
      <c r="O12" s="17">
        <f>COUNTIFS('Самопроверка по школам'!$J$2:$J$259,"",'Самопроверка по школам'!$E$2:$E$259,"Биология",'Самопроверка по школам'!$D$2:$D$259,"Мошканская ДССШ")</f>
        <v>5</v>
      </c>
      <c r="P12" s="17">
        <f>COUNTIFS('Самопроверка по школам'!$D$2:$D$259,"Мошканская ДССШ",'Самопроверка по школам'!$E$2:$E$259,"физика",'Самопроверка по школам'!$J$2:$J$259,"")</f>
        <v>1</v>
      </c>
      <c r="Q12" s="17">
        <f>COUNTIFS('Самопроверка по школам'!$J$2:$J$259,"",'Самопроверка по школам'!$E$2:$E$259,"астрономия",'Самопроверка по школам'!$D$2:$D$259,"Мошканская ДССШ")</f>
        <v>2</v>
      </c>
      <c r="R12" s="17">
        <f>COUNTIFS('Самопроверка по школам'!$J$2:$J$259,"",'Самопроверка по школам'!$E$2:$E$259,"химия",'Самопроверка по школам'!$D$2:$D$259,"Мошканская ДССШ")</f>
        <v>6</v>
      </c>
      <c r="S12" s="17">
        <f>COUNTIFS('Самопроверка по школам'!$J$2:$J$259,"",'Самопроверка по школам'!$E$2:$E$259,"Трудовое обучение",'Самопроверка по школам'!$D$2:$D$259,"Мошканская ДССШ")</f>
        <v>1</v>
      </c>
      <c r="T12" s="17">
        <f>COUNTIFS('Самопроверка по школам'!$J$2:$J$259,"",'Самопроверка по школам'!$E$2:$E$259,"физическая культура и здоровье",'Самопроверка по школам'!$D$2:$D$259,"Мошканская ДССШ")</f>
        <v>1</v>
      </c>
      <c r="U12" s="136">
        <f t="shared" si="1"/>
        <v>26</v>
      </c>
      <c r="V12" s="75">
        <f t="shared" si="2"/>
        <v>8</v>
      </c>
      <c r="W12" s="38"/>
    </row>
    <row r="13" spans="1:23" ht="15.75" hidden="1" customHeight="1" x14ac:dyDescent="0.25">
      <c r="A13" s="14"/>
      <c r="B13" s="92"/>
      <c r="C13" s="8"/>
      <c r="D13" s="50"/>
      <c r="E13" s="13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36"/>
      <c r="V13" s="75"/>
      <c r="W13" s="38"/>
    </row>
    <row r="14" spans="1:23" ht="15.75" customHeight="1" x14ac:dyDescent="0.25">
      <c r="A14" s="14" t="s">
        <v>41</v>
      </c>
      <c r="B14" s="92">
        <v>37</v>
      </c>
      <c r="C14" s="8">
        <f>'Предварительная Результативност'!H13</f>
        <v>14</v>
      </c>
      <c r="D14" s="50">
        <f t="shared" si="0"/>
        <v>0.2857142857142857</v>
      </c>
      <c r="E14" s="135">
        <f>'Результативность по предметам'!E14</f>
        <v>4</v>
      </c>
      <c r="F14" s="17">
        <f>COUNTIFS('Самопроверка по школам'!$D$2:$D$259,"Студёнковская ДССШ",'Самопроверка по школам'!$E$2:$E$259,"бел.яз и лит.",'Самопроверка по школам'!$J$2:$J$259,"")</f>
        <v>2</v>
      </c>
      <c r="G14" s="17">
        <f>COUNTIFS('Самопроверка по школам'!$D$2:$D$259,"Студёнковская ДССШ",'Самопроверка по школам'!$E$2:$E$259,"Русский язык и литература",'Самопроверка по школам'!$J$2:$J$259,"")</f>
        <v>0</v>
      </c>
      <c r="H14" s="17">
        <f>COUNTIFS('Самопроверка по школам'!$J$2:$J$259,"",'Самопроверка по школам'!$E$2:$E$259,"Английский язык",'Самопроверка по школам'!$D$2:$D$259,"Студёнковская ДССШ")</f>
        <v>0</v>
      </c>
      <c r="I14" s="17">
        <f>COUNTIFS('Самопроверка по школам'!$J$2:$J$259,"",'Самопроверка по школам'!$E$2:$E$259,"нем.яз.",'Самопроверка по школам'!$D$2:$D$259,"Студёнковская ДССШ")</f>
        <v>0</v>
      </c>
      <c r="J14" s="17">
        <f>COUNTIFS('Самопроверка по школам'!$D$2:$D$259,"Студёнковская ДССШ",'Самопроверка по школам'!$E$2:$E$259,"математика",'Самопроверка по школам'!$J$2:$J$259,"")</f>
        <v>0</v>
      </c>
      <c r="K14" s="17">
        <f>COUNTIFS('Самопроверка по школам'!$D$2:$D$259,"Студёнковская ДССШ",'Самопроверка по школам'!$E$2:$E$259,"информатика",'Самопроверка по школам'!$J$2:$J$259,"")</f>
        <v>0</v>
      </c>
      <c r="L14" s="17">
        <f>COUNTIFS('Самопроверка по школам'!$D$2:$D$259,"Студёнковская ДССШ",'Самопроверка по школам'!$E$2:$E$259,"история",'Самопроверка по школам'!$J$2:$J$259,"")</f>
        <v>0</v>
      </c>
      <c r="M14" s="17">
        <f>COUNTIFS('Самопроверка по школам'!$D$2:$D$259,"Студёнковская ДССШ",'Самопроверка по школам'!$E$2:$E$259,"обществоведение",'Самопроверка по школам'!$J$2:$J$259,"")</f>
        <v>0</v>
      </c>
      <c r="N14" s="17">
        <f>COUNTIFS('Самопроверка по школам'!$D$2:$D$259,"Студёнковская ДССШ",'Самопроверка по школам'!$E$2:$E$259,"география",'Самопроверка по школам'!$J$2:$J$259,"")</f>
        <v>0</v>
      </c>
      <c r="O14" s="17">
        <f>COUNTIFS('Самопроверка по школам'!$J$2:$J$259,"",'Самопроверка по школам'!$E$2:$E$259,"Биология",'Самопроверка по школам'!$D$2:$D$259,"Студёнковская ДССШ")</f>
        <v>2</v>
      </c>
      <c r="P14" s="17">
        <f>COUNTIFS('Самопроверка по школам'!$D$2:$D$259,"Студёнковская ДССШ",'Самопроверка по школам'!$E$2:$E$259,"физика",'Самопроверка по школам'!$J$2:$J$259,"")</f>
        <v>0</v>
      </c>
      <c r="Q14" s="17">
        <f>COUNTIFS('Самопроверка по школам'!$J$2:$J$259,"",'Самопроверка по школам'!$E$2:$E$259,"астрономия",'Самопроверка по школам'!$D$2:$D$259,"Студёнковская ДССШ")</f>
        <v>0</v>
      </c>
      <c r="R14" s="17">
        <f>COUNTIFS('Самопроверка по школам'!$J$2:$J$259,"",'Самопроверка по школам'!$E$2:$E$259,"химия",'Самопроверка по школам'!$D$2:$D$259,"Студёнковская ДССШ")</f>
        <v>0</v>
      </c>
      <c r="S14" s="17">
        <f>COUNTIFS('Самопроверка по школам'!$J$2:$J$259,"",'Самопроверка по школам'!$E$2:$E$259,"Трудовое обучение",'Самопроверка по школам'!$D$2:$D$259,"Студёнковская ДССШ")</f>
        <v>0</v>
      </c>
      <c r="T14" s="17">
        <f>COUNTIFS('Самопроверка по школам'!$J$2:$J$259,"",'Самопроверка по школам'!$E$2:$E$259,"физическая культура и здоровье",'Самопроверка по школам'!$D$2:$D$259,"Студёнковская ДССШ")</f>
        <v>3</v>
      </c>
      <c r="U14" s="136">
        <f t="shared" si="1"/>
        <v>7</v>
      </c>
      <c r="V14" s="75">
        <f t="shared" si="2"/>
        <v>3</v>
      </c>
      <c r="W14" s="38"/>
    </row>
    <row r="15" spans="1:23" ht="15.75" customHeight="1" x14ac:dyDescent="0.25">
      <c r="A15" s="14" t="s">
        <v>147</v>
      </c>
      <c r="B15" s="92">
        <v>22</v>
      </c>
      <c r="C15" s="8">
        <f>'Предварительная Результативност'!H14</f>
        <v>4</v>
      </c>
      <c r="D15" s="50">
        <f t="shared" si="0"/>
        <v>0.5</v>
      </c>
      <c r="E15" s="135">
        <f>'Результативность по предметам'!E15</f>
        <v>2</v>
      </c>
      <c r="F15" s="17">
        <f>COUNTIFS('Самопроверка по школам'!$D$2:$D$259,"Ходцевская ДССШ",'Самопроверка по школам'!$E$2:$E$259,"бел.яз и лит.",'Самопроверка по школам'!$J$2:$J$259,"")</f>
        <v>0</v>
      </c>
      <c r="G15" s="17">
        <f>COUNTIFS('Самопроверка по школам'!$D$2:$D$259,"Ходцевская ДССШ",'Самопроверка по школам'!$E$2:$E$259,"Русский язык и литература",'Самопроверка по школам'!$J$2:$J$259,"")</f>
        <v>0</v>
      </c>
      <c r="H15" s="17">
        <f>COUNTIFS('Самопроверка по школам'!$J$2:$J$259,"",'Самопроверка по школам'!$E$2:$E$259,"Английский язык",'Самопроверка по школам'!$D$2:$D$259,"Ходцевская ДССШ")</f>
        <v>0</v>
      </c>
      <c r="I15" s="17">
        <f>COUNTIFS('Самопроверка по школам'!$J$2:$J$259,"",'Самопроверка по школам'!$E$2:$E$259,"нем.яз.",'Самопроверка по школам'!$D$2:$D$259,"Ходцевская ДССШ")</f>
        <v>0</v>
      </c>
      <c r="J15" s="17">
        <f>COUNTIFS('Самопроверка по школам'!$D$2:$D$259,"Ходцевская ДССШ",'Самопроверка по школам'!$E$2:$E$259,"математика",'Самопроверка по школам'!$J$2:$J$259,"")</f>
        <v>0</v>
      </c>
      <c r="K15" s="17">
        <f>COUNTIFS('Самопроверка по школам'!$D$2:$D$259,"Ходцевская ДССШ",'Самопроверка по школам'!$E$2:$E$259,"информатика",'Самопроверка по школам'!$J$2:$J$259,"")</f>
        <v>0</v>
      </c>
      <c r="L15" s="17">
        <f>COUNTIFS('Самопроверка по школам'!$D$2:$D$259,"Ходцевская ДССШ",'Самопроверка по школам'!$E$2:$E$259,"история",'Самопроверка по школам'!$J$2:$J$259,"")</f>
        <v>0</v>
      </c>
      <c r="M15" s="17">
        <f>COUNTIFS('Самопроверка по школам'!$D$2:$D$259,"Ходцевская ДССШ",'Самопроверка по школам'!$E$2:$E$259,"обществоведение",'Самопроверка по школам'!$J$2:$J$259,"")</f>
        <v>0</v>
      </c>
      <c r="N15" s="17">
        <f>COUNTIFS('Самопроверка по школам'!$D$2:$D$259,"Ходцевская ДССШ",'Самопроверка по школам'!$E$2:$E$259,"география",'Самопроверка по школам'!$J$2:$J$259,"")</f>
        <v>0</v>
      </c>
      <c r="O15" s="17">
        <f>COUNTIFS('Самопроверка по школам'!$J$2:$J$259,"",'Самопроверка по школам'!$E$2:$E$259,"Биология",'Самопроверка по школам'!$D$2:$D$259,"Ходцевская ДССШ")</f>
        <v>0</v>
      </c>
      <c r="P15" s="17">
        <f>COUNTIFS('Самопроверка по школам'!$D$2:$D$259,"Ходцевская ДССШ",'Самопроверка по школам'!$E$2:$E$259,"физика",'Самопроверка по школам'!$J$2:$J$259,"")</f>
        <v>0</v>
      </c>
      <c r="Q15" s="17">
        <f>COUNTIFS('Самопроверка по школам'!$J$2:$J$259,"",'Самопроверка по школам'!$E$2:$E$259,"астрономия",'Самопроверка по школам'!$D$2:$D$259,"Ходцевская ДССШ")</f>
        <v>0</v>
      </c>
      <c r="R15" s="17">
        <f>COUNTIFS('Самопроверка по школам'!$J$2:$J$259,"",'Самопроверка по школам'!$E$2:$E$259,"химия",'Самопроверка по школам'!$D$2:$D$259,"Ходцевская ДССШ")</f>
        <v>0</v>
      </c>
      <c r="S15" s="17">
        <f>COUNTIFS('Самопроверка по школам'!$J$2:$J$259,"",'Самопроверка по школам'!$E$2:$E$259,"Трудовое обучение",'Самопроверка по школам'!$D$2:$D$259,"Ходцевская ДССШ")</f>
        <v>0</v>
      </c>
      <c r="T15" s="17">
        <f>COUNTIFS('Самопроверка по школам'!$J$2:$J$259,"",'Самопроверка по школам'!$E$2:$E$259,"физическая культура и здоровье",'Самопроверка по школам'!$D$2:$D$259,"Ходцевская ДССШ")</f>
        <v>1</v>
      </c>
      <c r="U15" s="136">
        <f t="shared" si="1"/>
        <v>1</v>
      </c>
      <c r="V15" s="75">
        <f t="shared" si="2"/>
        <v>1</v>
      </c>
      <c r="W15" s="38"/>
    </row>
    <row r="16" spans="1:23" ht="15.75" customHeight="1" x14ac:dyDescent="0.25">
      <c r="A16" s="14" t="s">
        <v>118</v>
      </c>
      <c r="B16" s="92">
        <v>14</v>
      </c>
      <c r="C16" s="8">
        <f>'Предварительная Результативност'!H15</f>
        <v>6</v>
      </c>
      <c r="D16" s="50">
        <f t="shared" si="0"/>
        <v>0</v>
      </c>
      <c r="E16" s="135">
        <f>'Результативность по предметам'!E16</f>
        <v>0</v>
      </c>
      <c r="F16" s="17">
        <f>COUNTIFS('Самопроверка по школам'!$D$2:$D$259,"Яновская ДСБШ",'Самопроверка по школам'!$E$2:$E$259,"бел.яз и лит.",'Самопроверка по школам'!$J$2:$J$259,"")</f>
        <v>0</v>
      </c>
      <c r="G16" s="17">
        <f>COUNTIFS('Самопроверка по школам'!$D$2:$D$259,"Яновская ДСБШ",'Самопроверка по школам'!$E$2:$E$259,"Русский язык и литература",'Самопроверка по школам'!$J$2:$J$259,"")</f>
        <v>0</v>
      </c>
      <c r="H16" s="17">
        <f>COUNTIFS('Самопроверка по школам'!$J$2:$J$259,"",'Самопроверка по школам'!$E$2:$E$259,"Английский язык",'Самопроверка по школам'!$D$2:$D$259,"Яновская ДСБШ")</f>
        <v>0</v>
      </c>
      <c r="I16" s="17">
        <f>COUNTIFS('Самопроверка по школам'!$J$2:$J$259,"",'Самопроверка по школам'!$E$2:$E$259,"нем.яз.",'Самопроверка по школам'!$D$2:$D$259,"Яновская ДСБШ")</f>
        <v>0</v>
      </c>
      <c r="J16" s="17">
        <f>COUNTIFS('Самопроверка по школам'!$D$2:$D$259,"Яновская ДСБШ",'Самопроверка по школам'!$E$2:$E$259,"математика",'Самопроверка по школам'!$J$2:$J$259,"")</f>
        <v>0</v>
      </c>
      <c r="K16" s="17">
        <f>COUNTIFS('Самопроверка по школам'!$D$2:$D$259,"Яновская ДСБШ",'Самопроверка по школам'!$E$2:$E$259,"информатика",'Самопроверка по школам'!$J$2:$J$259,"")</f>
        <v>0</v>
      </c>
      <c r="L16" s="17">
        <f>COUNTIFS('Самопроверка по школам'!$D$2:$D$259,"Яновская ДСБШ",'Самопроверка по школам'!$E$2:$E$259,"история",'Самопроверка по школам'!$J$2:$J$259,"")</f>
        <v>0</v>
      </c>
      <c r="M16" s="17">
        <f>COUNTIFS('Самопроверка по школам'!$D$2:$D$259,"Яновская ДСБШ",'Самопроверка по школам'!$E$2:$E$259,"обществоведение",'Самопроверка по школам'!$J$2:$J$259,"")</f>
        <v>0</v>
      </c>
      <c r="N16" s="17">
        <f>COUNTIFS('Самопроверка по школам'!$D$2:$D$259,"Яновская ДСБШ",'Самопроверка по школам'!$E$2:$E$259,"география",'Самопроверка по школам'!$J$2:$J$259,"")</f>
        <v>0</v>
      </c>
      <c r="O16" s="17">
        <f>COUNTIFS('Самопроверка по школам'!$J$2:$J$259,"",'Самопроверка по школам'!$E$2:$E$259,"Биология",'Самопроверка по школам'!$D$2:$D$259,"Яновская ДСБШ")</f>
        <v>0</v>
      </c>
      <c r="P16" s="17">
        <f>COUNTIFS('Самопроверка по школам'!$D$2:$D$259,"Яновская ДСБШ",'Самопроверка по школам'!$E$2:$E$259,"физика",'Самопроверка по школам'!$J$2:$J$259,"")</f>
        <v>0</v>
      </c>
      <c r="Q16" s="17">
        <f>COUNTIFS('Самопроверка по школам'!$J$2:$J$259,"",'Самопроверка по школам'!$E$2:$E$259,"астрономия",'Самопроверка по школам'!$D$2:$D$259,"Яновская ДСБШ")</f>
        <v>0</v>
      </c>
      <c r="R16" s="17">
        <f>COUNTIFS('Самопроверка по школам'!$J$2:$J$259,"",'Самопроверка по школам'!$E$2:$E$259,"химия",'Самопроверка по школам'!$D$2:$D$259,"Яновская ДСБШ")</f>
        <v>1</v>
      </c>
      <c r="S16" s="17">
        <f>COUNTIFS('Самопроверка по школам'!$J$2:$J$259,"",'Самопроверка по школам'!$E$2:$E$259,"Трудовое обучение",'Самопроверка по школам'!$D$2:$D$259,"Яновская ДСБШ")</f>
        <v>2</v>
      </c>
      <c r="T16" s="17">
        <f>COUNTIFS('Самопроверка по школам'!$J$2:$J$259,"",'Самопроверка по школам'!$E$2:$E$259,"физическая культура и здоровье",'Самопроверка по школам'!$D$2:$D$259,"Яновская ДСБШ")</f>
        <v>0</v>
      </c>
      <c r="U16" s="136">
        <f t="shared" si="1"/>
        <v>3</v>
      </c>
      <c r="V16" s="75">
        <f t="shared" si="2"/>
        <v>3</v>
      </c>
      <c r="W16" s="38"/>
    </row>
    <row r="17" spans="1:23" ht="33.75" customHeight="1" x14ac:dyDescent="0.25">
      <c r="A17" s="14" t="s">
        <v>20</v>
      </c>
      <c r="B17" s="92">
        <v>63</v>
      </c>
      <c r="C17" s="8">
        <f>'Предварительная Результативност'!H16</f>
        <v>13</v>
      </c>
      <c r="D17" s="50">
        <f t="shared" si="0"/>
        <v>0.23076923076923078</v>
      </c>
      <c r="E17" s="135">
        <f>'Результативность по предметам'!E17</f>
        <v>3</v>
      </c>
      <c r="F17" s="17">
        <f>COUNTIFS('Самопроверка по школам'!$D$2:$D$259,"Сенненская школа-интернат",'Самопроверка по школам'!$E$2:$E$259,"бел.яз и лит.",'Самопроверка по школам'!$J$2:$J$259,"")</f>
        <v>0</v>
      </c>
      <c r="G17" s="17">
        <f>COUNTIFS('Самопроверка по школам'!$D$2:$D$259,"Сенненская школа-интернат",'Самопроверка по школам'!$E$2:$E$259,"Русский язык и литература",'Самопроверка по школам'!$J$2:$J$259,"")</f>
        <v>0</v>
      </c>
      <c r="H17" s="17">
        <f>COUNTIFS('Самопроверка по школам'!$J$2:$J$259,"",'Самопроверка по школам'!$E$2:$E$259,"Английский язык",'Самопроверка по школам'!$D$2:$D$259,"Сенненская школа-интернат")</f>
        <v>0</v>
      </c>
      <c r="I17" s="17">
        <f>COUNTIFS('Самопроверка по школам'!$J$2:$J$259,"",'Самопроверка по школам'!$E$2:$E$259,"нем.яз",'Самопроверка по школам'!$D$2:$D$259,"Сенненская школа-интернат")</f>
        <v>0</v>
      </c>
      <c r="J17" s="17">
        <f>COUNTIFS('Самопроверка по школам'!$D$2:$D$259,"Сенненская школа-интернат",'Самопроверка по школам'!$E$2:$E$259,"математика",'Самопроверка по школам'!$J$2:$J$259,"")</f>
        <v>0</v>
      </c>
      <c r="K17" s="17">
        <f>COUNTIFS('Самопроверка по школам'!$D$2:$D$259,"Сенненская школа-интернат",'Самопроверка по школам'!$E$2:$E$259,"информатика",'Самопроверка по школам'!$J$2:$J$259,"")</f>
        <v>0</v>
      </c>
      <c r="L17" s="17">
        <f>COUNTIFS('Самопроверка по школам'!$D$2:$D$259,"Сенненская школа-интернат",'Самопроверка по школам'!$E$2:$E$259,"история",'Самопроверка по школам'!$J$2:$J$259,"")</f>
        <v>0</v>
      </c>
      <c r="M17" s="17">
        <f>COUNTIFS('Самопроверка по школам'!$D$2:$D$259,"Сенненская школа-интернат",'Самопроверка по школам'!$E$2:$E$259,"обществоведение",'Самопроверка по школам'!$J$2:$J$259,"")</f>
        <v>0</v>
      </c>
      <c r="N17" s="17">
        <f>COUNTIFS('Самопроверка по школам'!$D$2:$D$259,"Сенненская школа-интернат",'Самопроверка по школам'!$E$2:$E$259,"география",'Самопроверка по школам'!$J$2:$J$259,"")</f>
        <v>0</v>
      </c>
      <c r="O17" s="17">
        <f>COUNTIFS('Самопроверка по школам'!$J$2:$J$259,"",'Самопроверка по школам'!$E$2:$E$259,"Биология",'Самопроверка по школам'!$D$2:$D$259,"Сенненская школа-интернат")</f>
        <v>1</v>
      </c>
      <c r="P17" s="17">
        <f>COUNTIFS('Самопроверка по школам'!$D$2:$D$259,"Сенненская школа-интернат",'Самопроверка по школам'!$E$2:$E$259,"физика",'Самопроверка по школам'!$J$2:$J$259,"")</f>
        <v>0</v>
      </c>
      <c r="Q17" s="17">
        <f>COUNTIFS('Самопроверка по школам'!$J$2:$J$259,"",'Самопроверка по школам'!$E$2:$E$259,"астрономия",'Самопроверка по школам'!$D$2:$D$259,"Сенненская школа-интернат")</f>
        <v>0</v>
      </c>
      <c r="R17" s="17">
        <f>COUNTIFS('Самопроверка по школам'!$J$2:$J$259,"",'Самопроверка по школам'!$E$2:$E$259,"химия",'Самопроверка по школам'!$D$2:$D$259,"Сенненская школа-интернат")</f>
        <v>0</v>
      </c>
      <c r="S17" s="17">
        <f>COUNTIFS('Самопроверка по школам'!$J$2:$J$259,"",'Самопроверка по школам'!$E$2:$E$259,"Трудовое обучение",'Самопроверка по школам'!$D$2:$D$259,"Сенненская школа-интернат")</f>
        <v>1</v>
      </c>
      <c r="T17" s="17">
        <f>COUNTIFS('Самопроверка по школам'!$J$2:$J$259,"",'Самопроверка по школам'!$E$2:$E$259,"физическая культура и здоровье",'Самопроверка по школам'!$D$2:$D$259,"Сенненская школа-интернат")</f>
        <v>2</v>
      </c>
      <c r="U17" s="136">
        <f t="shared" si="1"/>
        <v>4</v>
      </c>
      <c r="V17" s="75">
        <f t="shared" si="2"/>
        <v>6</v>
      </c>
      <c r="W17" s="38"/>
    </row>
    <row r="18" spans="1:23" ht="31.5" hidden="1" customHeight="1" x14ac:dyDescent="0.25">
      <c r="A18" s="14"/>
      <c r="B18" s="14"/>
      <c r="C18" s="8"/>
      <c r="D18" s="49"/>
      <c r="E18" s="135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36"/>
      <c r="V18" s="75"/>
    </row>
    <row r="19" spans="1:23" ht="15.75" hidden="1" customHeight="1" x14ac:dyDescent="0.25">
      <c r="A19" s="14"/>
      <c r="B19" s="14"/>
      <c r="C19" s="8"/>
      <c r="D19" s="49"/>
      <c r="E19" s="135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36"/>
      <c r="V19" s="75"/>
    </row>
    <row r="20" spans="1:23" ht="15.75" hidden="1" customHeight="1" x14ac:dyDescent="0.25">
      <c r="A20" s="14"/>
      <c r="B20" s="14"/>
      <c r="C20" s="8"/>
      <c r="D20" s="49"/>
      <c r="E20" s="135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36"/>
      <c r="V20" s="75"/>
    </row>
    <row r="21" spans="1:23" ht="31.5" customHeight="1" x14ac:dyDescent="0.25">
      <c r="A21" s="22" t="s">
        <v>42</v>
      </c>
      <c r="B21" s="61">
        <f>SUM(B5:B17)</f>
        <v>658</v>
      </c>
      <c r="C21" s="57">
        <f>SUM(C5:C20)</f>
        <v>251</v>
      </c>
      <c r="D21" s="80">
        <f>E21/C21</f>
        <v>0.2151394422310757</v>
      </c>
      <c r="E21" s="135">
        <f>'Результативность по предметам'!E21</f>
        <v>54</v>
      </c>
      <c r="F21" s="24">
        <f>SUM(F5:F20)</f>
        <v>8</v>
      </c>
      <c r="G21" s="25">
        <f>SUM(G5:G20)</f>
        <v>1</v>
      </c>
      <c r="H21" s="26">
        <f t="shared" ref="H21:R21" si="3">SUM(H3:H20)</f>
        <v>3</v>
      </c>
      <c r="I21" s="27">
        <f t="shared" si="3"/>
        <v>2</v>
      </c>
      <c r="J21" s="28">
        <f t="shared" si="3"/>
        <v>19</v>
      </c>
      <c r="K21" s="29">
        <f t="shared" si="3"/>
        <v>3</v>
      </c>
      <c r="L21" s="30">
        <f t="shared" si="3"/>
        <v>10</v>
      </c>
      <c r="M21" s="31">
        <f t="shared" si="3"/>
        <v>11</v>
      </c>
      <c r="N21" s="29">
        <f t="shared" si="3"/>
        <v>9</v>
      </c>
      <c r="O21" s="32">
        <f t="shared" si="3"/>
        <v>26</v>
      </c>
      <c r="P21" s="26">
        <f t="shared" si="3"/>
        <v>6</v>
      </c>
      <c r="Q21" s="33">
        <f t="shared" si="3"/>
        <v>4</v>
      </c>
      <c r="R21" s="28">
        <f t="shared" si="3"/>
        <v>15</v>
      </c>
      <c r="S21" s="34">
        <f>SUM(S5:S20)</f>
        <v>9</v>
      </c>
      <c r="T21" s="34">
        <f>SUM(T5:T20)</f>
        <v>18</v>
      </c>
      <c r="U21" s="136">
        <f>SUM(F21:T21)</f>
        <v>144</v>
      </c>
      <c r="V21" s="75">
        <f>SUM(V5:V17)</f>
        <v>53</v>
      </c>
      <c r="W21" s="38"/>
    </row>
    <row r="22" spans="1:23" ht="15.75" customHeight="1" x14ac:dyDescent="0.25">
      <c r="A22" s="1"/>
      <c r="B22" s="1"/>
      <c r="C22" s="1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U22" s="38">
        <f>SUM(F21:T21)</f>
        <v>144</v>
      </c>
    </row>
    <row r="23" spans="1:23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23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2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8" spans="1:23" x14ac:dyDescent="0.25">
      <c r="D28">
        <f>251-52-52</f>
        <v>147</v>
      </c>
    </row>
  </sheetData>
  <mergeCells count="24">
    <mergeCell ref="A1:V1"/>
    <mergeCell ref="N3:N4"/>
    <mergeCell ref="O3:O4"/>
    <mergeCell ref="B2:B4"/>
    <mergeCell ref="C2:C4"/>
    <mergeCell ref="D2:D4"/>
    <mergeCell ref="K3:K4"/>
    <mergeCell ref="E2:E4"/>
    <mergeCell ref="U2:U4"/>
    <mergeCell ref="V2:V4"/>
    <mergeCell ref="S3:S4"/>
    <mergeCell ref="F3:F4"/>
    <mergeCell ref="G3:G4"/>
    <mergeCell ref="H3:H4"/>
    <mergeCell ref="I3:I4"/>
    <mergeCell ref="J3:J4"/>
    <mergeCell ref="P3:P4"/>
    <mergeCell ref="Q3:Q4"/>
    <mergeCell ref="R3:R4"/>
    <mergeCell ref="A2:A4"/>
    <mergeCell ref="L3:L4"/>
    <mergeCell ref="M3:M4"/>
    <mergeCell ref="F2:T2"/>
    <mergeCell ref="T3:T4"/>
  </mergeCells>
  <pageMargins left="1.2598425196850394" right="0.19685039370078741" top="0.74803149606299213" bottom="0.74803149606299213" header="0.31496062992125984" footer="0.31496062992125984"/>
  <pageSetup paperSize="9" scale="9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Самопроверка по школам</vt:lpstr>
      <vt:lpstr>Предварительная Результативност</vt:lpstr>
      <vt:lpstr>Результативность по предметам</vt:lpstr>
      <vt:lpstr>Награждение по итогам</vt:lpstr>
      <vt:lpstr>Похвальные листы Школы Предметы</vt:lpstr>
      <vt:lpstr>К-во уч-ков по школам по предм</vt:lpstr>
      <vt:lpstr>нерезульт.выступление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IGOR-K</cp:lastModifiedBy>
  <cp:lastPrinted>2017-12-14T11:06:02Z</cp:lastPrinted>
  <dcterms:created xsi:type="dcterms:W3CDTF">2009-12-08T06:08:07Z</dcterms:created>
  <dcterms:modified xsi:type="dcterms:W3CDTF">2018-12-05T11:04:22Z</dcterms:modified>
</cp:coreProperties>
</file>