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ЗУБЕЦ\статистическая отчетностьмониторинги и отчеты\олимпиады\олимпиада 2024 2025\II тур\"/>
    </mc:Choice>
  </mc:AlternateContent>
  <xr:revisionPtr revIDLastSave="0" documentId="13_ncr:1_{D9402BAF-B0FC-4F93-B8F5-2759C635CA7C}" xr6:coauthVersionLast="45" xr6:coauthVersionMax="45" xr10:uidLastSave="{00000000-0000-0000-0000-000000000000}"/>
  <bookViews>
    <workbookView xWindow="-120" yWindow="-120" windowWidth="21840" windowHeight="13140" tabRatio="730" firstSheet="3" activeTab="5" xr2:uid="{00000000-000D-0000-FFFF-FFFF00000000}"/>
  </bookViews>
  <sheets>
    <sheet name="Самопроверка по школам" sheetId="1" r:id="rId1"/>
    <sheet name="Предварительная Результативност" sheetId="2" r:id="rId2"/>
    <sheet name="Результативность по предметам" sheetId="7" r:id="rId3"/>
    <sheet name="Награждение по итогам" sheetId="4" r:id="rId4"/>
    <sheet name="Похвальные листы Школы Предметы" sheetId="6" r:id="rId5"/>
    <sheet name="К-во уч-ков по школам по предм" sheetId="8" r:id="rId6"/>
    <sheet name="нерезульт.выступление" sheetId="3" r:id="rId7"/>
  </sheets>
  <definedNames>
    <definedName name="_GoBack" localSheetId="0">'Самопроверка по школам'!#REF!</definedName>
    <definedName name="_xlnm._FilterDatabase" localSheetId="0" hidden="1">'Самопроверка по школам'!$D$1:$D$133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8" l="1"/>
  <c r="C4" i="2" l="1"/>
  <c r="C6" i="2"/>
  <c r="C3" i="6" l="1"/>
  <c r="F11" i="4" l="1"/>
  <c r="G13" i="4"/>
  <c r="G6" i="4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E7" i="2"/>
  <c r="H18" i="4"/>
  <c r="H5" i="4"/>
  <c r="G7" i="4"/>
  <c r="F10" i="4"/>
  <c r="F14" i="4"/>
  <c r="H17" i="4"/>
  <c r="D12" i="2"/>
  <c r="G16" i="4"/>
  <c r="G4" i="4"/>
  <c r="F8" i="4"/>
  <c r="I15" i="1"/>
  <c r="I16" i="1"/>
  <c r="I17" i="1"/>
  <c r="I2" i="1"/>
  <c r="I3" i="1"/>
  <c r="I4" i="1"/>
  <c r="I10" i="1"/>
  <c r="I11" i="1"/>
  <c r="I12" i="1"/>
  <c r="I13" i="1"/>
  <c r="I14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4" i="1"/>
  <c r="I55" i="1"/>
  <c r="I56" i="1"/>
  <c r="I57" i="1"/>
  <c r="I59" i="1"/>
  <c r="I60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F15" i="4"/>
  <c r="F12" i="4"/>
  <c r="F4" i="2" l="1"/>
  <c r="C133" i="1"/>
  <c r="C7" i="2" l="1"/>
  <c r="D10" i="2"/>
  <c r="C8" i="2"/>
  <c r="B14" i="4"/>
  <c r="E11" i="6" l="1"/>
  <c r="C11" i="2" l="1"/>
  <c r="C6" i="6" l="1"/>
  <c r="D6" i="6"/>
  <c r="E6" i="6"/>
  <c r="F6" i="6"/>
  <c r="G6" i="6"/>
  <c r="C5" i="7" l="1"/>
  <c r="F5" i="3" l="1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B14" i="8"/>
  <c r="Z5" i="7"/>
  <c r="C6" i="7"/>
  <c r="E6" i="7"/>
  <c r="E6" i="3" s="1"/>
  <c r="Z6" i="7"/>
  <c r="C7" i="7"/>
  <c r="E7" i="7"/>
  <c r="E7" i="3" s="1"/>
  <c r="Z7" i="7"/>
  <c r="C8" i="7"/>
  <c r="E8" i="7"/>
  <c r="E8" i="3" s="1"/>
  <c r="Z8" i="7"/>
  <c r="C9" i="7"/>
  <c r="E9" i="7"/>
  <c r="E9" i="3" s="1"/>
  <c r="Z9" i="7"/>
  <c r="C10" i="7"/>
  <c r="Z10" i="7"/>
  <c r="C11" i="7"/>
  <c r="E11" i="7"/>
  <c r="E11" i="3" s="1"/>
  <c r="Z11" i="7"/>
  <c r="C12" i="7"/>
  <c r="E12" i="7"/>
  <c r="E12" i="3" s="1"/>
  <c r="Z12" i="7"/>
  <c r="C13" i="7"/>
  <c r="E13" i="7"/>
  <c r="E13" i="3" s="1"/>
  <c r="Z13" i="7"/>
  <c r="B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V5" i="3" l="1"/>
  <c r="D9" i="7"/>
  <c r="D7" i="7"/>
  <c r="V7" i="3"/>
  <c r="V9" i="3"/>
  <c r="V13" i="3"/>
  <c r="V12" i="3"/>
  <c r="V8" i="3"/>
  <c r="V6" i="3"/>
  <c r="V11" i="3"/>
  <c r="V10" i="3"/>
  <c r="Z14" i="7"/>
  <c r="G14" i="7"/>
  <c r="D11" i="7"/>
  <c r="C14" i="7"/>
  <c r="D13" i="7"/>
  <c r="D6" i="7"/>
  <c r="H14" i="7"/>
  <c r="E5" i="7"/>
  <c r="E10" i="7"/>
  <c r="D8" i="7"/>
  <c r="F14" i="7"/>
  <c r="D10" i="7" l="1"/>
  <c r="E10" i="3"/>
  <c r="D5" i="7"/>
  <c r="E5" i="3"/>
  <c r="E14" i="7"/>
  <c r="D14" i="7" s="1"/>
  <c r="E6" i="4" l="1"/>
  <c r="C4" i="6" l="1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C12" i="2" l="1"/>
  <c r="E12" i="2"/>
  <c r="L7" i="4" l="1"/>
  <c r="J7" i="4"/>
  <c r="K7" i="4"/>
  <c r="R11" i="6" l="1"/>
  <c r="R10" i="6"/>
  <c r="R9" i="6"/>
  <c r="R8" i="6"/>
  <c r="R7" i="6"/>
  <c r="R6" i="6"/>
  <c r="R3" i="6"/>
  <c r="Q11" i="6"/>
  <c r="Q10" i="6"/>
  <c r="Q9" i="6"/>
  <c r="Q8" i="6"/>
  <c r="Q7" i="6"/>
  <c r="Q6" i="6"/>
  <c r="Q3" i="6"/>
  <c r="E16" i="4"/>
  <c r="F16" i="4"/>
  <c r="H16" i="4"/>
  <c r="E17" i="4"/>
  <c r="N16" i="4" l="1"/>
  <c r="R5" i="8"/>
  <c r="R7" i="8"/>
  <c r="R9" i="8"/>
  <c r="R11" i="8"/>
  <c r="R13" i="8"/>
  <c r="R6" i="8"/>
  <c r="R8" i="8"/>
  <c r="R10" i="8"/>
  <c r="R12" i="8"/>
  <c r="S17" i="3"/>
  <c r="Q12" i="6"/>
  <c r="L16" i="4"/>
  <c r="K16" i="4"/>
  <c r="J16" i="4"/>
  <c r="I16" i="4"/>
  <c r="L17" i="4"/>
  <c r="K17" i="4"/>
  <c r="J17" i="4"/>
  <c r="I17" i="4"/>
  <c r="G17" i="4"/>
  <c r="F17" i="4"/>
  <c r="E18" i="4"/>
  <c r="C16" i="4"/>
  <c r="R14" i="8" l="1"/>
  <c r="O17" i="4"/>
  <c r="O16" i="4"/>
  <c r="N17" i="4"/>
  <c r="B17" i="4"/>
  <c r="B16" i="4"/>
  <c r="D16" i="4" s="1"/>
  <c r="S11" i="6" l="1"/>
  <c r="P11" i="6"/>
  <c r="O11" i="6"/>
  <c r="N11" i="6"/>
  <c r="M11" i="6"/>
  <c r="L11" i="6"/>
  <c r="K11" i="6"/>
  <c r="J11" i="6"/>
  <c r="I11" i="6"/>
  <c r="H11" i="6"/>
  <c r="G11" i="6"/>
  <c r="F11" i="6"/>
  <c r="D11" i="6"/>
  <c r="C11" i="6"/>
  <c r="F12" i="2"/>
  <c r="H12" i="2"/>
  <c r="C13" i="3" s="1"/>
  <c r="D13" i="3" l="1"/>
  <c r="W13" i="3"/>
  <c r="I18" i="4"/>
  <c r="J18" i="4"/>
  <c r="K18" i="4"/>
  <c r="L18" i="4"/>
  <c r="C18" i="4"/>
  <c r="O18" i="4" l="1"/>
  <c r="S10" i="6"/>
  <c r="S9" i="6"/>
  <c r="S8" i="6"/>
  <c r="S7" i="6"/>
  <c r="S6" i="6"/>
  <c r="S3" i="6"/>
  <c r="G18" i="4"/>
  <c r="F18" i="4"/>
  <c r="B18" i="4"/>
  <c r="N18" i="4" l="1"/>
  <c r="U17" i="3"/>
  <c r="T5" i="8"/>
  <c r="T7" i="8"/>
  <c r="T10" i="8"/>
  <c r="T12" i="8"/>
  <c r="T8" i="8"/>
  <c r="T9" i="8"/>
  <c r="T6" i="8"/>
  <c r="T11" i="8"/>
  <c r="T13" i="8"/>
  <c r="D18" i="4"/>
  <c r="T14" i="8" l="1"/>
  <c r="K12" i="2"/>
  <c r="H6" i="2"/>
  <c r="C7" i="3" s="1"/>
  <c r="F6" i="2"/>
  <c r="E6" i="2"/>
  <c r="D6" i="2"/>
  <c r="S12" i="6"/>
  <c r="G6" i="2" l="1"/>
  <c r="D7" i="3"/>
  <c r="W7" i="3"/>
  <c r="K6" i="2"/>
  <c r="E11" i="2"/>
  <c r="D11" i="2"/>
  <c r="K11" i="2" l="1"/>
  <c r="B6" i="4" l="1"/>
  <c r="F11" i="2"/>
  <c r="S13" i="8"/>
  <c r="C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P6" i="6"/>
  <c r="O6" i="6"/>
  <c r="N6" i="6"/>
  <c r="M6" i="6"/>
  <c r="L6" i="6"/>
  <c r="K6" i="6"/>
  <c r="J6" i="6"/>
  <c r="I6" i="6"/>
  <c r="H6" i="6"/>
  <c r="P3" i="6"/>
  <c r="O3" i="6"/>
  <c r="N3" i="6"/>
  <c r="M3" i="6"/>
  <c r="L3" i="6"/>
  <c r="K3" i="6"/>
  <c r="J3" i="6"/>
  <c r="I3" i="6"/>
  <c r="H3" i="6"/>
  <c r="G3" i="6"/>
  <c r="F3" i="6"/>
  <c r="E3" i="6"/>
  <c r="D3" i="6"/>
  <c r="F6" i="4"/>
  <c r="K6" i="4"/>
  <c r="L6" i="4"/>
  <c r="J6" i="4"/>
  <c r="I6" i="4"/>
  <c r="I4" i="4"/>
  <c r="F10" i="2"/>
  <c r="E10" i="2"/>
  <c r="F9" i="2"/>
  <c r="E9" i="2"/>
  <c r="D9" i="2"/>
  <c r="F8" i="2"/>
  <c r="E8" i="2"/>
  <c r="D8" i="2"/>
  <c r="F7" i="2"/>
  <c r="D7" i="2"/>
  <c r="D4" i="2"/>
  <c r="H11" i="2"/>
  <c r="C12" i="3" s="1"/>
  <c r="H10" i="2"/>
  <c r="C11" i="3" s="1"/>
  <c r="H9" i="2"/>
  <c r="C10" i="3" s="1"/>
  <c r="H8" i="2"/>
  <c r="C9" i="3" s="1"/>
  <c r="H7" i="2"/>
  <c r="C8" i="3" s="1"/>
  <c r="H5" i="2"/>
  <c r="C6" i="3" s="1"/>
  <c r="H4" i="2"/>
  <c r="C5" i="3" s="1"/>
  <c r="C10" i="2"/>
  <c r="C9" i="2"/>
  <c r="F5" i="2"/>
  <c r="E5" i="2"/>
  <c r="D5" i="2"/>
  <c r="C5" i="2"/>
  <c r="E4" i="2"/>
  <c r="L15" i="4"/>
  <c r="K15" i="4"/>
  <c r="J15" i="4"/>
  <c r="I15" i="4"/>
  <c r="L14" i="4"/>
  <c r="K14" i="4"/>
  <c r="J14" i="4"/>
  <c r="I14" i="4"/>
  <c r="L13" i="4"/>
  <c r="K13" i="4"/>
  <c r="J13" i="4"/>
  <c r="I13" i="4"/>
  <c r="L12" i="4"/>
  <c r="K12" i="4"/>
  <c r="J12" i="4"/>
  <c r="I12" i="4"/>
  <c r="L11" i="4"/>
  <c r="K11" i="4"/>
  <c r="J11" i="4"/>
  <c r="I11" i="4"/>
  <c r="L10" i="4"/>
  <c r="K10" i="4"/>
  <c r="J10" i="4"/>
  <c r="I10" i="4"/>
  <c r="L9" i="4"/>
  <c r="K9" i="4"/>
  <c r="J9" i="4"/>
  <c r="I9" i="4"/>
  <c r="L8" i="4"/>
  <c r="K8" i="4"/>
  <c r="J8" i="4"/>
  <c r="I8" i="4"/>
  <c r="I7" i="4"/>
  <c r="O7" i="4" s="1"/>
  <c r="L5" i="4"/>
  <c r="K5" i="4"/>
  <c r="J5" i="4"/>
  <c r="I5" i="4"/>
  <c r="L4" i="4"/>
  <c r="K4" i="4"/>
  <c r="J4" i="4"/>
  <c r="H15" i="4"/>
  <c r="G15" i="4"/>
  <c r="E15" i="4"/>
  <c r="H14" i="4"/>
  <c r="G14" i="4"/>
  <c r="E14" i="4"/>
  <c r="H13" i="4"/>
  <c r="F13" i="4"/>
  <c r="E13" i="4"/>
  <c r="H12" i="4"/>
  <c r="G12" i="4"/>
  <c r="E12" i="4"/>
  <c r="H11" i="4"/>
  <c r="G11" i="4"/>
  <c r="E11" i="4"/>
  <c r="H10" i="4"/>
  <c r="G10" i="4"/>
  <c r="E10" i="4"/>
  <c r="H9" i="4"/>
  <c r="G9" i="4"/>
  <c r="F9" i="4"/>
  <c r="E9" i="4"/>
  <c r="H8" i="4"/>
  <c r="G8" i="4"/>
  <c r="E8" i="4"/>
  <c r="H7" i="4"/>
  <c r="F7" i="4"/>
  <c r="E7" i="4"/>
  <c r="H6" i="4"/>
  <c r="G5" i="4"/>
  <c r="F5" i="4"/>
  <c r="E5" i="4"/>
  <c r="H4" i="4"/>
  <c r="F4" i="4"/>
  <c r="E4" i="4"/>
  <c r="B15" i="4"/>
  <c r="B13" i="4"/>
  <c r="B12" i="4"/>
  <c r="B11" i="4"/>
  <c r="B10" i="4"/>
  <c r="B9" i="4"/>
  <c r="B8" i="4"/>
  <c r="B7" i="4"/>
  <c r="B5" i="4"/>
  <c r="B4" i="4"/>
  <c r="C23" i="2"/>
  <c r="G4" i="2" l="1"/>
  <c r="D6" i="3"/>
  <c r="W6" i="3"/>
  <c r="D9" i="3"/>
  <c r="W9" i="3"/>
  <c r="D11" i="3"/>
  <c r="W11" i="3"/>
  <c r="D5" i="3"/>
  <c r="W5" i="3"/>
  <c r="D8" i="3"/>
  <c r="W8" i="3"/>
  <c r="D10" i="3"/>
  <c r="W10" i="3"/>
  <c r="D12" i="3"/>
  <c r="W12" i="3"/>
  <c r="T11" i="6"/>
  <c r="C12" i="6"/>
  <c r="N4" i="4"/>
  <c r="O4" i="4"/>
  <c r="O5" i="4"/>
  <c r="O8" i="4"/>
  <c r="O9" i="4"/>
  <c r="O10" i="4"/>
  <c r="O11" i="4"/>
  <c r="O12" i="4"/>
  <c r="O13" i="4"/>
  <c r="O14" i="4"/>
  <c r="O15" i="4"/>
  <c r="O6" i="4"/>
  <c r="N5" i="4"/>
  <c r="K9" i="2"/>
  <c r="N6" i="4"/>
  <c r="K4" i="2"/>
  <c r="K5" i="2"/>
  <c r="K7" i="2"/>
  <c r="K10" i="2"/>
  <c r="N7" i="4"/>
  <c r="N8" i="4"/>
  <c r="N9" i="4"/>
  <c r="N10" i="4"/>
  <c r="N11" i="4"/>
  <c r="N12" i="4"/>
  <c r="N13" i="4"/>
  <c r="N14" i="4"/>
  <c r="N15" i="4"/>
  <c r="F17" i="3"/>
  <c r="E19" i="4"/>
  <c r="G19" i="4"/>
  <c r="J19" i="4"/>
  <c r="L19" i="4"/>
  <c r="K19" i="4"/>
  <c r="B19" i="4"/>
  <c r="F19" i="4"/>
  <c r="H19" i="4"/>
  <c r="I19" i="4"/>
  <c r="B17" i="3"/>
  <c r="O19" i="4" l="1"/>
  <c r="N19" i="4"/>
  <c r="C15" i="4"/>
  <c r="D15" i="4" s="1"/>
  <c r="C13" i="4"/>
  <c r="D13" i="4" s="1"/>
  <c r="C8" i="4"/>
  <c r="D8" i="4" s="1"/>
  <c r="C10" i="4"/>
  <c r="D10" i="4" s="1"/>
  <c r="C12" i="4"/>
  <c r="D12" i="4" s="1"/>
  <c r="C17" i="4"/>
  <c r="D17" i="4" s="1"/>
  <c r="C14" i="4"/>
  <c r="D14" i="4" s="1"/>
  <c r="C7" i="4"/>
  <c r="D7" i="4" s="1"/>
  <c r="K8" i="2"/>
  <c r="K13" i="2" s="1"/>
  <c r="C9" i="4" l="1"/>
  <c r="D9" i="4" s="1"/>
  <c r="C5" i="4"/>
  <c r="D5" i="4" s="1"/>
  <c r="C4" i="4"/>
  <c r="C11" i="4"/>
  <c r="D11" i="4" s="1"/>
  <c r="C6" i="4"/>
  <c r="D6" i="4" s="1"/>
  <c r="G15" i="7"/>
  <c r="D4" i="4" l="1"/>
  <c r="C19" i="4"/>
  <c r="D19" i="4" s="1"/>
  <c r="E13" i="8"/>
  <c r="E12" i="8"/>
  <c r="E11" i="8"/>
  <c r="E10" i="8"/>
  <c r="E9" i="8"/>
  <c r="E8" i="8"/>
  <c r="E7" i="8"/>
  <c r="E6" i="8"/>
  <c r="E5" i="8"/>
  <c r="E14" i="8" l="1"/>
  <c r="E17" i="3"/>
  <c r="Q13" i="8" l="1"/>
  <c r="P13" i="8"/>
  <c r="O13" i="8"/>
  <c r="N13" i="8"/>
  <c r="M13" i="8"/>
  <c r="L13" i="8"/>
  <c r="K13" i="8"/>
  <c r="J13" i="8"/>
  <c r="I13" i="8"/>
  <c r="H13" i="8"/>
  <c r="G13" i="8"/>
  <c r="F13" i="8"/>
  <c r="S12" i="8"/>
  <c r="Q12" i="8"/>
  <c r="P12" i="8"/>
  <c r="O12" i="8"/>
  <c r="N12" i="8"/>
  <c r="M12" i="8"/>
  <c r="L12" i="8"/>
  <c r="K12" i="8"/>
  <c r="J12" i="8"/>
  <c r="I12" i="8"/>
  <c r="H12" i="8"/>
  <c r="G12" i="8"/>
  <c r="F12" i="8"/>
  <c r="F5" i="8"/>
  <c r="S11" i="8"/>
  <c r="Q11" i="8"/>
  <c r="P11" i="8"/>
  <c r="S10" i="8"/>
  <c r="P10" i="8"/>
  <c r="S9" i="8"/>
  <c r="Q9" i="8"/>
  <c r="P9" i="8"/>
  <c r="S8" i="8"/>
  <c r="Q8" i="8"/>
  <c r="P8" i="8"/>
  <c r="S7" i="8"/>
  <c r="P7" i="8"/>
  <c r="S6" i="8"/>
  <c r="Q6" i="8"/>
  <c r="P6" i="8"/>
  <c r="S5" i="8"/>
  <c r="Q5" i="8"/>
  <c r="P5" i="8"/>
  <c r="O11" i="8"/>
  <c r="N11" i="8"/>
  <c r="M11" i="8"/>
  <c r="L11" i="8"/>
  <c r="K11" i="8"/>
  <c r="J11" i="8"/>
  <c r="I11" i="8"/>
  <c r="H11" i="8"/>
  <c r="G11" i="8"/>
  <c r="F11" i="8"/>
  <c r="Q10" i="8"/>
  <c r="O10" i="8"/>
  <c r="N10" i="8"/>
  <c r="M10" i="8"/>
  <c r="L10" i="8"/>
  <c r="K10" i="8"/>
  <c r="J10" i="8"/>
  <c r="I10" i="8"/>
  <c r="H10" i="8"/>
  <c r="G10" i="8"/>
  <c r="F10" i="8"/>
  <c r="O9" i="8"/>
  <c r="N9" i="8"/>
  <c r="M9" i="8"/>
  <c r="L9" i="8"/>
  <c r="K9" i="8"/>
  <c r="J9" i="8"/>
  <c r="I9" i="8"/>
  <c r="H9" i="8"/>
  <c r="G9" i="8"/>
  <c r="F9" i="8"/>
  <c r="O8" i="8"/>
  <c r="N8" i="8"/>
  <c r="M8" i="8"/>
  <c r="L8" i="8"/>
  <c r="K8" i="8"/>
  <c r="J8" i="8"/>
  <c r="I8" i="8"/>
  <c r="H8" i="8"/>
  <c r="G8" i="8"/>
  <c r="F8" i="8"/>
  <c r="Q7" i="8"/>
  <c r="O7" i="8"/>
  <c r="N7" i="8"/>
  <c r="M7" i="8"/>
  <c r="L7" i="8"/>
  <c r="K7" i="8"/>
  <c r="J7" i="8"/>
  <c r="I7" i="8"/>
  <c r="H7" i="8"/>
  <c r="G7" i="8"/>
  <c r="F7" i="8"/>
  <c r="F6" i="8"/>
  <c r="O6" i="8"/>
  <c r="N6" i="8"/>
  <c r="M6" i="8"/>
  <c r="L6" i="8"/>
  <c r="K6" i="8"/>
  <c r="J6" i="8"/>
  <c r="I6" i="8"/>
  <c r="H6" i="8"/>
  <c r="G6" i="8"/>
  <c r="H5" i="8"/>
  <c r="O5" i="8"/>
  <c r="N5" i="8"/>
  <c r="M5" i="8"/>
  <c r="L5" i="8"/>
  <c r="K5" i="8"/>
  <c r="J5" i="8"/>
  <c r="I5" i="8"/>
  <c r="G5" i="8"/>
  <c r="U13" i="8"/>
  <c r="U12" i="8"/>
  <c r="U11" i="8"/>
  <c r="U10" i="8"/>
  <c r="U9" i="8"/>
  <c r="U8" i="8"/>
  <c r="U7" i="8"/>
  <c r="U6" i="8"/>
  <c r="U5" i="8"/>
  <c r="G14" i="8" l="1"/>
  <c r="J14" i="8"/>
  <c r="N14" i="8"/>
  <c r="H14" i="8"/>
  <c r="L14" i="8"/>
  <c r="P14" i="8"/>
  <c r="S14" i="8"/>
  <c r="U14" i="8"/>
  <c r="G17" i="8" s="1"/>
  <c r="I14" i="8"/>
  <c r="K14" i="8"/>
  <c r="M14" i="8"/>
  <c r="O14" i="8"/>
  <c r="Q14" i="8"/>
  <c r="R12" i="6"/>
  <c r="F14" i="8"/>
  <c r="D12" i="6"/>
  <c r="G12" i="6"/>
  <c r="I12" i="6"/>
  <c r="M12" i="6"/>
  <c r="O12" i="6"/>
  <c r="E12" i="6"/>
  <c r="K12" i="6"/>
  <c r="P12" i="6"/>
  <c r="F12" i="6"/>
  <c r="H12" i="6"/>
  <c r="J12" i="6"/>
  <c r="L12" i="6"/>
  <c r="N12" i="6"/>
  <c r="C13" i="8"/>
  <c r="C12" i="8"/>
  <c r="D12" i="8" s="1"/>
  <c r="C11" i="8"/>
  <c r="D11" i="8" s="1"/>
  <c r="C10" i="8"/>
  <c r="D10" i="8" s="1"/>
  <c r="C9" i="8"/>
  <c r="D9" i="8" s="1"/>
  <c r="C8" i="8"/>
  <c r="D8" i="8" s="1"/>
  <c r="C7" i="8"/>
  <c r="D7" i="8" s="1"/>
  <c r="C6" i="8"/>
  <c r="D6" i="8" s="1"/>
  <c r="C5" i="8"/>
  <c r="D5" i="8" s="1"/>
  <c r="H17" i="8" l="1"/>
  <c r="T17" i="8"/>
  <c r="W14" i="8"/>
  <c r="T12" i="6"/>
  <c r="C13" i="2"/>
  <c r="C14" i="8"/>
  <c r="D14" i="8" s="1"/>
  <c r="H13" i="2" l="1"/>
  <c r="W17" i="3" l="1"/>
  <c r="F13" i="2"/>
  <c r="D13" i="2" l="1"/>
  <c r="I4" i="2" l="1"/>
  <c r="C17" i="3" l="1"/>
  <c r="T17" i="3" l="1"/>
  <c r="R17" i="3"/>
  <c r="Q17" i="3"/>
  <c r="P17" i="3"/>
  <c r="O17" i="3"/>
  <c r="N17" i="3"/>
  <c r="M17" i="3"/>
  <c r="L17" i="3"/>
  <c r="K17" i="3"/>
  <c r="J17" i="3"/>
  <c r="I17" i="3"/>
  <c r="H17" i="3"/>
  <c r="G17" i="3"/>
  <c r="I6" i="2"/>
  <c r="G8" i="2"/>
  <c r="I8" i="2" s="1"/>
  <c r="G9" i="2"/>
  <c r="I9" i="2" s="1"/>
  <c r="E13" i="2"/>
  <c r="E14" i="2" s="1"/>
  <c r="G11" i="2"/>
  <c r="I11" i="2" s="1"/>
  <c r="G10" i="2"/>
  <c r="I10" i="2" s="1"/>
  <c r="G7" i="2"/>
  <c r="I7" i="2" s="1"/>
  <c r="G12" i="2"/>
  <c r="I12" i="2" s="1"/>
  <c r="G5" i="2"/>
  <c r="I5" i="2" s="1"/>
  <c r="U18" i="3" l="1"/>
  <c r="V17" i="3"/>
  <c r="V18" i="3" s="1"/>
  <c r="G13" i="2"/>
  <c r="I13" i="2" s="1"/>
  <c r="D17" i="3"/>
</calcChain>
</file>

<file path=xl/sharedStrings.xml><?xml version="1.0" encoding="utf-8"?>
<sst xmlns="http://schemas.openxmlformats.org/spreadsheetml/2006/main" count="766" uniqueCount="286">
  <si>
    <t>Ф.И.О. участника</t>
  </si>
  <si>
    <t>УО</t>
  </si>
  <si>
    <t>Ф.ИО.учителя</t>
  </si>
  <si>
    <t>Диплом</t>
  </si>
  <si>
    <t>Предмет</t>
  </si>
  <si>
    <t>Набрано баллов</t>
  </si>
  <si>
    <t>%</t>
  </si>
  <si>
    <t>Макс. кол-во баллов</t>
  </si>
  <si>
    <t>Класс</t>
  </si>
  <si>
    <t>№ п/п</t>
  </si>
  <si>
    <t>СШ №2 г.Сенно</t>
  </si>
  <si>
    <t>Студёнковская ДССШ</t>
  </si>
  <si>
    <t>СШ №1 г.Сенно</t>
  </si>
  <si>
    <t>Мошканская ДССШ</t>
  </si>
  <si>
    <t>Белицкая ДССШ</t>
  </si>
  <si>
    <t>II</t>
  </si>
  <si>
    <t>III</t>
  </si>
  <si>
    <t>I</t>
  </si>
  <si>
    <t>№</t>
  </si>
  <si>
    <t>Степени дипломов</t>
  </si>
  <si>
    <t>Похвальные листы</t>
  </si>
  <si>
    <t>СШ №2г.Сенно</t>
  </si>
  <si>
    <t>Всего дипломов</t>
  </si>
  <si>
    <t>Итого:</t>
  </si>
  <si>
    <t>Из них приняло участие во II этапе</t>
  </si>
  <si>
    <t>БЕЛ.ЯЗ.</t>
  </si>
  <si>
    <t>РУС.ЯЗ.</t>
  </si>
  <si>
    <t>АНГЛ.ЯЗ.</t>
  </si>
  <si>
    <t>НЕМ.ЯЗ.</t>
  </si>
  <si>
    <t>МАТЕМАТ</t>
  </si>
  <si>
    <t>ИНФОРМ.</t>
  </si>
  <si>
    <t>ИСТОРИЯ</t>
  </si>
  <si>
    <t>ОБЩЕСТВ</t>
  </si>
  <si>
    <t>ГЕОГРАФ.</t>
  </si>
  <si>
    <t>Всего</t>
  </si>
  <si>
    <t xml:space="preserve">% побе
дите
лей
</t>
  </si>
  <si>
    <t>В разрезе предметов (кол-во дипломов I, II и III степени) 9-11 класс</t>
  </si>
  <si>
    <t>БИОЛОГ</t>
  </si>
  <si>
    <t>ФИЗИКА</t>
  </si>
  <si>
    <t>АСТРОН.</t>
  </si>
  <si>
    <t>ХИМИЯ</t>
  </si>
  <si>
    <t xml:space="preserve">Предмет </t>
  </si>
  <si>
    <t>Количество участников районного этапа</t>
  </si>
  <si>
    <t>Кол-во победи-телей</t>
  </si>
  <si>
    <t>Результативность участия (%)</t>
  </si>
  <si>
    <t>Диплом 1-ой степени</t>
  </si>
  <si>
    <t>Диплом 2-ой степени</t>
  </si>
  <si>
    <t>Диплом 3-ой степени</t>
  </si>
  <si>
    <t>Похвальный лист</t>
  </si>
  <si>
    <t>Русский язык и литература</t>
  </si>
  <si>
    <t>Белорусский язык и литература</t>
  </si>
  <si>
    <t>Иностранный язык (англ, нем)</t>
  </si>
  <si>
    <t>Математика</t>
  </si>
  <si>
    <t xml:space="preserve">Физика </t>
  </si>
  <si>
    <t xml:space="preserve">Информатика </t>
  </si>
  <si>
    <t xml:space="preserve">Астрономия </t>
  </si>
  <si>
    <t xml:space="preserve">Биология </t>
  </si>
  <si>
    <t>Химия</t>
  </si>
  <si>
    <t xml:space="preserve">География </t>
  </si>
  <si>
    <t xml:space="preserve">История </t>
  </si>
  <si>
    <t xml:space="preserve">Обществоведение </t>
  </si>
  <si>
    <t>Всего: 9 (8) -11 класс</t>
  </si>
  <si>
    <t>Кол-во победителей 8 класса</t>
  </si>
  <si>
    <t>Кол-во победителей 9 класса</t>
  </si>
  <si>
    <t>Кол-во победителей 10 класса</t>
  </si>
  <si>
    <t>Кол-во победителей 11 класса</t>
  </si>
  <si>
    <t>Всего участников</t>
  </si>
  <si>
    <t>% Результативность участия</t>
  </si>
  <si>
    <t>п.л.</t>
  </si>
  <si>
    <t>математика</t>
  </si>
  <si>
    <t>Биология</t>
  </si>
  <si>
    <t xml:space="preserve">Количество дипломов
</t>
  </si>
  <si>
    <t xml:space="preserve">Стали победителями
(всего)
</t>
  </si>
  <si>
    <t>Всего побед-лей</t>
  </si>
  <si>
    <t>Количество участников, неотмеченных дипл или п.л.</t>
  </si>
  <si>
    <t>Участники, показавшие нерезультативное выступление</t>
  </si>
  <si>
    <t>Участники</t>
  </si>
  <si>
    <t>география</t>
  </si>
  <si>
    <t>физика</t>
  </si>
  <si>
    <t>бел.яз и лит.</t>
  </si>
  <si>
    <t>обществоведение</t>
  </si>
  <si>
    <t>химия</t>
  </si>
  <si>
    <t>астрономия</t>
  </si>
  <si>
    <t>Английский язык</t>
  </si>
  <si>
    <t>Физическая культура и здоровье</t>
  </si>
  <si>
    <t>ФИЗКУЛЬТУРА</t>
  </si>
  <si>
    <t xml:space="preserve">Богушевская СШ </t>
  </si>
  <si>
    <t>Богушевская СШ</t>
  </si>
  <si>
    <t>физическая культура и здоровье</t>
  </si>
  <si>
    <t xml:space="preserve">
Наименование учреждений образования
</t>
  </si>
  <si>
    <t>Труд обслуживающий</t>
  </si>
  <si>
    <t>Труд  технический</t>
  </si>
  <si>
    <t>Авраменко Светлана Леонидовна</t>
  </si>
  <si>
    <t>Гречихо Галина Анатольевна</t>
  </si>
  <si>
    <t>Володькина Алеся Павловна</t>
  </si>
  <si>
    <t>Тереня Тамара Васильевна</t>
  </si>
  <si>
    <t>Прокопович Татьяна Васильевна</t>
  </si>
  <si>
    <t>Сапежко Андрей Георгиевич</t>
  </si>
  <si>
    <t>Михасёва Анастасия Сергеевна</t>
  </si>
  <si>
    <t>Романенко Алексей Юрьевич</t>
  </si>
  <si>
    <t>Гордецкий Александр Николаевич</t>
  </si>
  <si>
    <t>Насеченко Анастасия Владимировна</t>
  </si>
  <si>
    <t>Пчелинцева Лариса Ивановна</t>
  </si>
  <si>
    <t>Кучинская Елена Алексеевна</t>
  </si>
  <si>
    <t>Данченко Валентина Александровна</t>
  </si>
  <si>
    <t>Горнак Анна Николаевна</t>
  </si>
  <si>
    <t>Мядзведская Алена Уладзіміраўна</t>
  </si>
  <si>
    <t>Спрытула Галіна Мікалаеўна</t>
  </si>
  <si>
    <t>Гринюк Игорь Павлович</t>
  </si>
  <si>
    <t>Савлевич Наталья Николаевна</t>
  </si>
  <si>
    <t>Шидловская Ольга Петровна</t>
  </si>
  <si>
    <t>Румо Сергей Леонидович</t>
  </si>
  <si>
    <t>Яновская ДСБШ</t>
  </si>
  <si>
    <t>Винник Ольга Анатольевна</t>
  </si>
  <si>
    <t>Леонова Татьяна Владимировна</t>
  </si>
  <si>
    <t>Султанов Владимир Максимович</t>
  </si>
  <si>
    <t>Шарец Дарья Владимировна</t>
  </si>
  <si>
    <t>Суходолова Кира Александровна</t>
  </si>
  <si>
    <t>история</t>
  </si>
  <si>
    <t>Мизавцова Елена Борисовна</t>
  </si>
  <si>
    <t>Сінякоў Мікіта Сяргеевіч</t>
  </si>
  <si>
    <t>Козлова Светлана Ивановна</t>
  </si>
  <si>
    <t>Манкевич Матвей Алексеевич</t>
  </si>
  <si>
    <t>Вишневская Евгения Ивановна</t>
  </si>
  <si>
    <t>Стрижнева Диана Руслановна</t>
  </si>
  <si>
    <t>Свитин Никита Сергеевич</t>
  </si>
  <si>
    <t>Миронова Мария Сергеевна</t>
  </si>
  <si>
    <t xml:space="preserve">Однорогий Александр Васильевич </t>
  </si>
  <si>
    <t>Соловьёв Андрей Тимофеевич</t>
  </si>
  <si>
    <t>Горенькова Марина Григорьевна</t>
  </si>
  <si>
    <t>Юкович Иван Викторович</t>
  </si>
  <si>
    <t>Черенкевич Андрей Анатольевич</t>
  </si>
  <si>
    <t>Тетюева Татьяна Денисовна</t>
  </si>
  <si>
    <t>Ананенко Юрий Сергеевич</t>
  </si>
  <si>
    <t>Храповицкая Светлана Анатольевна</t>
  </si>
  <si>
    <t>Прихожая Виктория Александровна</t>
  </si>
  <si>
    <t>Стайнова Екатерина Александровна</t>
  </si>
  <si>
    <t>Володькина Василина Андреевна</t>
  </si>
  <si>
    <t>Грунтов Вадим Дмитриевич</t>
  </si>
  <si>
    <t>Ляликова Полина Алексеевна</t>
  </si>
  <si>
    <t>Богино Валерия Александровна</t>
  </si>
  <si>
    <t>Лях Ольга Вячеславовна</t>
  </si>
  <si>
    <t>Всего уч-ся 9-11 кл</t>
  </si>
  <si>
    <t>Осень 2022</t>
  </si>
  <si>
    <t>Белицкая СШ</t>
  </si>
  <si>
    <t>Коковчинская СШ</t>
  </si>
  <si>
    <t>Мошканская СШ</t>
  </si>
  <si>
    <t>Студёнковская СШ</t>
  </si>
  <si>
    <t>Ходцевская СШ</t>
  </si>
  <si>
    <t>Яновская БШ</t>
  </si>
  <si>
    <t>Студенковская СШ</t>
  </si>
  <si>
    <t>Горбачёв Артём Алексеевич</t>
  </si>
  <si>
    <t>Колдачёв Роман Александрович</t>
  </si>
  <si>
    <t>Быщева Виктория Александровна</t>
  </si>
  <si>
    <t>Селезнёва Ульяна Сергеевна</t>
  </si>
  <si>
    <t>Савик Тимофей Андреевич</t>
  </si>
  <si>
    <t>Латышева Светлана Сергеевна</t>
  </si>
  <si>
    <t>Бельская Елизавета Алексеевна</t>
  </si>
  <si>
    <t>Мирза Алина Николаевна</t>
  </si>
  <si>
    <t>Буланный Роман Евгеньевич</t>
  </si>
  <si>
    <t>Шелухо Владислав Анатольевич</t>
  </si>
  <si>
    <t>Старовойтов Дмитрий Денисович</t>
  </si>
  <si>
    <t>Редненко Мария Александровна</t>
  </si>
  <si>
    <t>Загорская Анна Руслановна</t>
  </si>
  <si>
    <t>Бабарико Татьяна Михайловна</t>
  </si>
  <si>
    <t>Булыня Глеб Андреевич</t>
  </si>
  <si>
    <t>Черкасова Александра Васильевна</t>
  </si>
  <si>
    <t>Козлов Арсений Александрович</t>
  </si>
  <si>
    <t>Надуёва Валерия Юрьевна</t>
  </si>
  <si>
    <t>Самсонова Полина Дмитриевна</t>
  </si>
  <si>
    <t>Алферонак Софья Александровна</t>
  </si>
  <si>
    <t>Лабзова Мария Алексеевна</t>
  </si>
  <si>
    <t>Устинович Алевтина Владимировна</t>
  </si>
  <si>
    <t>Щербакова Людмила Фёдоровна</t>
  </si>
  <si>
    <t xml:space="preserve">Какутева Полина Ивановна </t>
  </si>
  <si>
    <t>Ясинская Ангелина Сергеевна</t>
  </si>
  <si>
    <t>Шпаковская София Юрьевна</t>
  </si>
  <si>
    <t>Степанец Мария Петровна</t>
  </si>
  <si>
    <t>Козлова Софья Сергеевна</t>
  </si>
  <si>
    <t>Николаева Валерия Александровна</t>
  </si>
  <si>
    <t>Русина Полина Александровна</t>
  </si>
  <si>
    <t>Лапо Алина Сергеевна</t>
  </si>
  <si>
    <t>Горнак Дарья Владимировна</t>
  </si>
  <si>
    <t>Подрез Татьяна Петровна</t>
  </si>
  <si>
    <t>60,4</t>
  </si>
  <si>
    <t>56,4</t>
  </si>
  <si>
    <t>43,5</t>
  </si>
  <si>
    <t>37,6</t>
  </si>
  <si>
    <t>36,7</t>
  </si>
  <si>
    <t xml:space="preserve">Кисляков Максим Александрович </t>
  </si>
  <si>
    <t>Баранок Владислав Валентинович</t>
  </si>
  <si>
    <t>Гайдуков Павел Александр ович</t>
  </si>
  <si>
    <t>Командышко Степан сергеевич</t>
  </si>
  <si>
    <t>Козлов Роман Евгеньевич</t>
  </si>
  <si>
    <t>Грамузов Захар Александрович</t>
  </si>
  <si>
    <t>Сухвал Сергей Максимович</t>
  </si>
  <si>
    <t>Цуран Максим Александрович</t>
  </si>
  <si>
    <t>Кучко Юрий Николаевич</t>
  </si>
  <si>
    <t>Бровко Сергей Васильевич</t>
  </si>
  <si>
    <t>Бакланова Дарья Максимовна</t>
  </si>
  <si>
    <t>Дубовец Анастасия Сергеевна</t>
  </si>
  <si>
    <t>Шек Павел Сергеевич</t>
  </si>
  <si>
    <t>Шатовицкий Артем Александрович</t>
  </si>
  <si>
    <t>Иванов Вадим Александрович</t>
  </si>
  <si>
    <t>Соколовская Алина Игоревна</t>
  </si>
  <si>
    <t>Ланина Людмила Васильевна</t>
  </si>
  <si>
    <t>Миничук Тимофей Андреевич</t>
  </si>
  <si>
    <t>Жуменок Максим Александрович</t>
  </si>
  <si>
    <t>Подалинский Даниил Владимирович</t>
  </si>
  <si>
    <t>Козлов Тимофей Владимирович</t>
  </si>
  <si>
    <t>Барышкова Тамара Николаевна</t>
  </si>
  <si>
    <t>Прихожая Наталья  Викторовна</t>
  </si>
  <si>
    <t>Солдатенкова Полина Сергеевна</t>
  </si>
  <si>
    <t>Чаркасава Аляксандра Васільеўна</t>
  </si>
  <si>
    <t>Казлоў Арсеній Аляксандравіч</t>
  </si>
  <si>
    <t>Цярэня Юлія Святаславаўна</t>
  </si>
  <si>
    <t>Куксёнак Яна Уладзіміраўна</t>
  </si>
  <si>
    <t>Грамакоўская Вікторыя Уладзіміраўна</t>
  </si>
  <si>
    <t>Барадуліна Жанна Мікалаеўна</t>
  </si>
  <si>
    <t>Усціновіч Аляўціна  Уладзіміраўна</t>
  </si>
  <si>
    <t>Лізберг Людміла Віктараўна</t>
  </si>
  <si>
    <t>Русіна Паліна Аляксандраўна</t>
  </si>
  <si>
    <t>Міранкова Кацярына Андрэеўна</t>
  </si>
  <si>
    <t xml:space="preserve"> Кавалеўская Таццяна Аляксееўна</t>
  </si>
  <si>
    <t>Стрыжнёва Дзіяна Русланаўна</t>
  </si>
  <si>
    <t>Шпакоўская Сафія Юр'еўна</t>
  </si>
  <si>
    <t>Какуцева Паліна Іванаўна</t>
  </si>
  <si>
    <t>Дзядун Таццяна Чаславаўна</t>
  </si>
  <si>
    <t>Насечанка Анастасія Уладзіміраўна</t>
  </si>
  <si>
    <t xml:space="preserve">Полякова Алёна Владимировна </t>
  </si>
  <si>
    <t xml:space="preserve">Кореневская Ульяна Александровна </t>
  </si>
  <si>
    <t>Рыбченко Ксения Дмитриевна</t>
  </si>
  <si>
    <t>Старовойтова Анастасия Денисовна</t>
  </si>
  <si>
    <t>Старченко Евгения Александровна</t>
  </si>
  <si>
    <t xml:space="preserve">Боритко Антон Сергеевич </t>
  </si>
  <si>
    <t>Швыдкин Кирилл Витальевич</t>
  </si>
  <si>
    <t>Сапелко Максим Викторович</t>
  </si>
  <si>
    <t>Супрунюк Данила Владимирович</t>
  </si>
  <si>
    <t>Дьяконов Дмитрий Георгиевич</t>
  </si>
  <si>
    <t>Мицкевич Глеб Александрович</t>
  </si>
  <si>
    <t>Ревяко Данила Владимирович</t>
  </si>
  <si>
    <t>Таранов Дмитрий Алексеевич</t>
  </si>
  <si>
    <t>Шухто Игорь Юрьевич</t>
  </si>
  <si>
    <t>Ландёнок Юлия Алексеевна</t>
  </si>
  <si>
    <t>Маханьков Арсений Петрович</t>
  </si>
  <si>
    <t>Мефодиенко Софья Валерьевна</t>
  </si>
  <si>
    <t xml:space="preserve">Базылева Елизавета Андреевна </t>
  </si>
  <si>
    <t>Медведева Валерия Максимовна</t>
  </si>
  <si>
    <t>Скиба Наталья Станиславовна</t>
  </si>
  <si>
    <t>Гавриленко Елизавета Юрьевна</t>
  </si>
  <si>
    <t>Фоминова Яна Михайловна</t>
  </si>
  <si>
    <t>Новиков Дмитрий Юрьевич</t>
  </si>
  <si>
    <t>Капитонов Артем Сергеевич</t>
  </si>
  <si>
    <t>Ситников Михаил Юрьевич</t>
  </si>
  <si>
    <t>Соколовский Кирилл Сергеевич</t>
  </si>
  <si>
    <t>Шапрунова Е.С.</t>
  </si>
  <si>
    <t>Прокопович Н.В.</t>
  </si>
  <si>
    <t>Володькина А.П.</t>
  </si>
  <si>
    <t>63.5</t>
  </si>
  <si>
    <t>35.5</t>
  </si>
  <si>
    <t>Курашевич Татьяна Владимировна</t>
  </si>
  <si>
    <t>Тимошенко Александр Дмитриевич</t>
  </si>
  <si>
    <t>Авраменко С.Л.</t>
  </si>
  <si>
    <t>Зинькович И.В.</t>
  </si>
  <si>
    <t>56.5</t>
  </si>
  <si>
    <t>Полякова Алена Владимировна</t>
  </si>
  <si>
    <t>Шабердыев Кирилл Андреевич</t>
  </si>
  <si>
    <t>Киселёв Никита Александрович</t>
  </si>
  <si>
    <t>Соловьёва Анастасия Викторовна</t>
  </si>
  <si>
    <t>Соколовский Артём Дмитриевич</t>
  </si>
  <si>
    <t>Китёнок Тимофей Николаевич</t>
  </si>
  <si>
    <t>Александрович Оксана Александровна</t>
  </si>
  <si>
    <t>18,5</t>
  </si>
  <si>
    <t>Станкевич Виолетта Фёдоровна</t>
  </si>
  <si>
    <t>Шинкевич Павел Александрович</t>
  </si>
  <si>
    <t>Приставко Глеб Николаевич</t>
  </si>
  <si>
    <t>Кирзов Тимофей Сергеевич</t>
  </si>
  <si>
    <t>Синица Татьяна Александровна</t>
  </si>
  <si>
    <t>Беляева Полина Михайловна</t>
  </si>
  <si>
    <t>Бурдо Полина Евгеньевна</t>
  </si>
  <si>
    <t xml:space="preserve"> Результативность                                                                                     участия учреждений общего среднего образования
во II (районном) этапе республиканской олимпиады                            в 2024/2025 уч.г.(качество дипломов)
</t>
  </si>
  <si>
    <t xml:space="preserve">Награждение по итогам II (районного) этапа республиканской олимпиады (9 (8) -11 кл.) в 2024/2025 учебном году
(в разрезе учебных предметов)
</t>
  </si>
  <si>
    <r>
      <rPr>
        <sz val="14"/>
        <color theme="1"/>
        <rFont val="Times New Roman"/>
        <family val="1"/>
        <charset val="204"/>
      </rPr>
      <t xml:space="preserve">Участие школьников 
во II (районном) этапе республиканской олимпиады (9 (8)-11 кл.) в 2024/2025 учебном году (В РАЗРЕЗЕ УЧЕБНЫХ ПРЕДМЕТОВ)
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</si>
  <si>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4"/>
        <color theme="1"/>
        <rFont val="Times New Roman"/>
        <family val="1"/>
        <charset val="204"/>
      </rPr>
      <t xml:space="preserve">Результативность участия учреждений общего среднего образования
во II (районном) этапе республиканской олимпиады (9 (8)-11 кл.) в 2024/2025 учебном году (В РАЗРЕЗЕ УЧЕБНЫХ ПРЕДМЕТОВ)
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</si>
  <si>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4"/>
        <color theme="1"/>
        <rFont val="Times New Roman"/>
        <family val="1"/>
        <charset val="204"/>
      </rPr>
      <t>Награждение похвальными листами
по итогам II (районного) этапа республиканской олимпиады (9 (8) -11 кл.) в 2024/2025 учебном году
(в разрезе учебных предметов)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</si>
  <si>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4"/>
        <color theme="1"/>
        <rFont val="Times New Roman"/>
        <family val="1"/>
        <charset val="204"/>
      </rPr>
      <t>Участие школьников 
во II (районном) этапе республиканской олимпиады (9 (8)-11 кл.) в 2024/2025 учебном году (в разрезе учебных предметов)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</si>
</sst>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mbria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mbria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2" borderId="2" applyNumberFormat="0" applyFont="0" applyAlignment="0" applyProtection="0"/>
    <xf numFmtId="9" fontId="3" fillId="0" borderId="0" applyFont="0" applyFill="0" applyBorder="0" applyAlignment="0" applyProtection="0"/>
  </cellStyleXfs>
  <cellXfs count="321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left" vertical="center"/>
    </xf>
    <xf numFmtId="2" fontId="2" fillId="0" borderId="1" xfId="1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/>
    </xf>
    <xf numFmtId="0" fontId="0" fillId="0" borderId="0" xfId="0" applyFont="1"/>
    <xf numFmtId="0" fontId="5" fillId="16" borderId="1" xfId="0" applyFont="1" applyFill="1" applyBorder="1" applyAlignment="1">
      <alignment horizontal="center" vertical="center" wrapText="1"/>
    </xf>
    <xf numFmtId="1" fontId="0" fillId="22" borderId="1" xfId="0" applyNumberFormat="1" applyFont="1" applyFill="1" applyBorder="1"/>
    <xf numFmtId="1" fontId="0" fillId="11" borderId="1" xfId="0" applyNumberFormat="1" applyFont="1" applyFill="1" applyBorder="1"/>
    <xf numFmtId="1" fontId="0" fillId="0" borderId="0" xfId="0" applyNumberFormat="1" applyFont="1"/>
    <xf numFmtId="0" fontId="2" fillId="0" borderId="1" xfId="0" applyFont="1" applyBorder="1" applyAlignment="1">
      <alignment horizontal="right" vertical="center" wrapText="1"/>
    </xf>
    <xf numFmtId="0" fontId="11" fillId="8" borderId="1" xfId="0" applyFont="1" applyFill="1" applyBorder="1" applyAlignment="1">
      <alignment horizontal="center" vertical="center" wrapText="1"/>
    </xf>
    <xf numFmtId="164" fontId="2" fillId="7" borderId="1" xfId="2" applyNumberFormat="1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center" vertical="center" wrapText="1"/>
    </xf>
    <xf numFmtId="1" fontId="11" fillId="12" borderId="1" xfId="0" applyNumberFormat="1" applyFont="1" applyFill="1" applyBorder="1" applyAlignment="1">
      <alignment horizontal="center" vertical="center" wrapText="1"/>
    </xf>
    <xf numFmtId="1" fontId="11" fillId="16" borderId="1" xfId="0" applyNumberFormat="1" applyFont="1" applyFill="1" applyBorder="1" applyAlignment="1">
      <alignment horizontal="center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1" fontId="11" fillId="14" borderId="1" xfId="0" applyNumberFormat="1" applyFont="1" applyFill="1" applyBorder="1" applyAlignment="1">
      <alignment horizontal="center" vertical="center" wrapText="1"/>
    </xf>
    <xf numFmtId="1" fontId="11" fillId="17" borderId="1" xfId="0" applyNumberFormat="1" applyFont="1" applyFill="1" applyBorder="1" applyAlignment="1">
      <alignment horizontal="center" vertical="center" wrapText="1"/>
    </xf>
    <xf numFmtId="1" fontId="11" fillId="10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1" fontId="11" fillId="11" borderId="1" xfId="0" applyNumberFormat="1" applyFont="1" applyFill="1" applyBorder="1" applyAlignment="1">
      <alignment horizontal="center" vertical="center" wrapText="1"/>
    </xf>
    <xf numFmtId="1" fontId="0" fillId="22" borderId="1" xfId="0" applyNumberFormat="1" applyFont="1" applyFill="1" applyBorder="1" applyAlignment="1">
      <alignment horizontal="center" vertical="center"/>
    </xf>
    <xf numFmtId="1" fontId="0" fillId="11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0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1" fontId="0" fillId="0" borderId="0" xfId="0" applyNumberFormat="1" applyFont="1" applyFill="1"/>
    <xf numFmtId="0" fontId="0" fillId="0" borderId="0" xfId="0" applyFont="1" applyFill="1"/>
    <xf numFmtId="0" fontId="2" fillId="0" borderId="9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12" fillId="20" borderId="9" xfId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" fontId="0" fillId="0" borderId="1" xfId="0" applyNumberFormat="1" applyFont="1" applyFill="1" applyBorder="1"/>
    <xf numFmtId="0" fontId="0" fillId="0" borderId="0" xfId="0" quotePrefix="1" applyFont="1"/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4" fontId="5" fillId="16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 vertical="center"/>
    </xf>
    <xf numFmtId="0" fontId="5" fillId="20" borderId="1" xfId="1" applyFont="1" applyFill="1" applyBorder="1" applyAlignment="1">
      <alignment horizontal="center" vertical="center"/>
    </xf>
    <xf numFmtId="0" fontId="5" fillId="17" borderId="1" xfId="1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26" borderId="1" xfId="0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vertical="top" wrapText="1"/>
    </xf>
    <xf numFmtId="0" fontId="2" fillId="20" borderId="1" xfId="0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horizontal="center" vertical="center"/>
    </xf>
    <xf numFmtId="0" fontId="8" fillId="24" borderId="1" xfId="0" applyFont="1" applyFill="1" applyBorder="1" applyAlignment="1">
      <alignment horizontal="center" vertical="center" textRotation="90"/>
    </xf>
    <xf numFmtId="2" fontId="8" fillId="24" borderId="1" xfId="0" applyNumberFormat="1" applyFont="1" applyFill="1" applyBorder="1" applyAlignment="1">
      <alignment horizontal="center" vertical="center" wrapText="1"/>
    </xf>
    <xf numFmtId="0" fontId="8" fillId="2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0" fillId="19" borderId="0" xfId="0" applyFont="1" applyFill="1" applyAlignment="1">
      <alignment horizontal="center" vertical="center"/>
    </xf>
    <xf numFmtId="1" fontId="19" fillId="14" borderId="1" xfId="0" applyNumberFormat="1" applyFont="1" applyFill="1" applyBorder="1" applyAlignment="1">
      <alignment horizontal="center" vertical="center"/>
    </xf>
    <xf numFmtId="1" fontId="19" fillId="7" borderId="1" xfId="0" applyNumberFormat="1" applyFont="1" applyFill="1" applyBorder="1" applyAlignment="1">
      <alignment horizontal="center" vertical="center"/>
    </xf>
    <xf numFmtId="164" fontId="19" fillId="8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1" fontId="19" fillId="19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1" fontId="18" fillId="7" borderId="0" xfId="0" applyNumberFormat="1" applyFont="1" applyFill="1"/>
    <xf numFmtId="0" fontId="21" fillId="14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164" fontId="21" fillId="7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17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5" fillId="0" borderId="0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22" fillId="20" borderId="1" xfId="1" applyFont="1" applyFill="1" applyBorder="1" applyAlignment="1">
      <alignment horizontal="center" vertical="center"/>
    </xf>
    <xf numFmtId="1" fontId="23" fillId="15" borderId="1" xfId="0" applyNumberFormat="1" applyFont="1" applyFill="1" applyBorder="1" applyAlignment="1">
      <alignment horizontal="center" vertical="center" wrapText="1"/>
    </xf>
    <xf numFmtId="1" fontId="23" fillId="12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1" fontId="23" fillId="25" borderId="1" xfId="0" applyNumberFormat="1" applyFont="1" applyFill="1" applyBorder="1" applyAlignment="1">
      <alignment horizontal="center" vertical="center" wrapText="1"/>
    </xf>
    <xf numFmtId="1" fontId="23" fillId="5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1" fontId="23" fillId="17" borderId="1" xfId="0" applyNumberFormat="1" applyFont="1" applyFill="1" applyBorder="1" applyAlignment="1">
      <alignment horizontal="center" vertical="center" wrapText="1"/>
    </xf>
    <xf numFmtId="1" fontId="23" fillId="10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1" fontId="23" fillId="6" borderId="1" xfId="0" applyNumberFormat="1" applyFont="1" applyFill="1" applyBorder="1" applyAlignment="1">
      <alignment horizontal="center" vertical="center" wrapText="1"/>
    </xf>
    <xf numFmtId="1" fontId="23" fillId="11" borderId="1" xfId="0" applyNumberFormat="1" applyFont="1" applyFill="1" applyBorder="1" applyAlignment="1">
      <alignment horizontal="center" vertical="center" wrapText="1"/>
    </xf>
    <xf numFmtId="1" fontId="23" fillId="2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23" fillId="31" borderId="1" xfId="0" applyFont="1" applyFill="1" applyBorder="1" applyAlignment="1">
      <alignment horizontal="center" vertical="center" wrapText="1"/>
    </xf>
    <xf numFmtId="0" fontId="23" fillId="21" borderId="1" xfId="0" applyFont="1" applyFill="1" applyBorder="1" applyAlignment="1">
      <alignment horizontal="center" vertical="center" wrapText="1"/>
    </xf>
    <xf numFmtId="1" fontId="23" fillId="8" borderId="1" xfId="0" applyNumberFormat="1" applyFont="1" applyFill="1" applyBorder="1" applyAlignment="1">
      <alignment horizontal="center" vertical="center" wrapText="1"/>
    </xf>
    <xf numFmtId="1" fontId="23" fillId="27" borderId="1" xfId="0" applyNumberFormat="1" applyFont="1" applyFill="1" applyBorder="1" applyAlignment="1">
      <alignment horizontal="center" vertical="center" wrapText="1"/>
    </xf>
    <xf numFmtId="1" fontId="23" fillId="9" borderId="1" xfId="0" applyNumberFormat="1" applyFont="1" applyFill="1" applyBorder="1" applyAlignment="1">
      <alignment horizontal="center" vertical="center" wrapText="1"/>
    </xf>
    <xf numFmtId="1" fontId="23" fillId="28" borderId="1" xfId="0" applyNumberFormat="1" applyFont="1" applyFill="1" applyBorder="1" applyAlignment="1">
      <alignment horizontal="center" vertical="center" wrapText="1"/>
    </xf>
    <xf numFmtId="1" fontId="23" fillId="29" borderId="1" xfId="0" applyNumberFormat="1" applyFont="1" applyFill="1" applyBorder="1" applyAlignment="1">
      <alignment horizontal="center" vertical="center" wrapText="1"/>
    </xf>
    <xf numFmtId="1" fontId="23" fillId="30" borderId="1" xfId="0" applyNumberFormat="1" applyFont="1" applyFill="1" applyBorder="1" applyAlignment="1">
      <alignment horizontal="center" vertical="center" wrapText="1"/>
    </xf>
    <xf numFmtId="1" fontId="23" fillId="4" borderId="1" xfId="0" applyNumberFormat="1" applyFont="1" applyFill="1" applyBorder="1" applyAlignment="1">
      <alignment horizontal="center" vertical="center" wrapText="1"/>
    </xf>
    <xf numFmtId="1" fontId="23" fillId="18" borderId="1" xfId="0" applyNumberFormat="1" applyFont="1" applyFill="1" applyBorder="1" applyAlignment="1">
      <alignment horizontal="center" vertical="center" wrapText="1"/>
    </xf>
    <xf numFmtId="1" fontId="0" fillId="21" borderId="0" xfId="0" applyNumberFormat="1" applyFont="1" applyFill="1"/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4" fillId="2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8" fillId="24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2" fillId="17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8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justify" vertical="center" wrapText="1"/>
    </xf>
    <xf numFmtId="0" fontId="25" fillId="0" borderId="23" xfId="0" applyFont="1" applyBorder="1" applyAlignment="1">
      <alignment horizontal="justify" vertical="center" wrapText="1"/>
    </xf>
    <xf numFmtId="0" fontId="2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26" fillId="26" borderId="1" xfId="0" applyFont="1" applyFill="1" applyBorder="1" applyAlignment="1">
      <alignment horizontal="center" vertical="top"/>
    </xf>
    <xf numFmtId="0" fontId="5" fillId="0" borderId="10" xfId="0" applyFont="1" applyBorder="1" applyAlignment="1">
      <alignment vertical="top" wrapText="1"/>
    </xf>
    <xf numFmtId="0" fontId="26" fillId="26" borderId="10" xfId="0" applyFont="1" applyFill="1" applyBorder="1" applyAlignment="1">
      <alignment horizontal="center" vertical="top"/>
    </xf>
    <xf numFmtId="0" fontId="2" fillId="0" borderId="22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23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9" fontId="5" fillId="0" borderId="22" xfId="0" applyNumberFormat="1" applyFont="1" applyBorder="1" applyAlignment="1">
      <alignment horizontal="center" vertical="center" wrapText="1"/>
    </xf>
    <xf numFmtId="9" fontId="5" fillId="0" borderId="2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3" borderId="1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center" vertical="center" wrapText="1"/>
    </xf>
    <xf numFmtId="0" fontId="5" fillId="16" borderId="10" xfId="0" applyFont="1" applyFill="1" applyBorder="1" applyAlignment="1">
      <alignment horizontal="center" vertical="center" wrapText="1"/>
    </xf>
    <xf numFmtId="0" fontId="5" fillId="17" borderId="1" xfId="1" applyFont="1" applyFill="1" applyBorder="1" applyAlignment="1">
      <alignment horizontal="center" vertical="center" wrapText="1"/>
    </xf>
    <xf numFmtId="0" fontId="15" fillId="17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/>
    <xf numFmtId="0" fontId="5" fillId="0" borderId="1" xfId="1" applyFont="1" applyFill="1" applyBorder="1" applyAlignment="1">
      <alignment horizontal="center" vertical="center"/>
    </xf>
    <xf numFmtId="0" fontId="5" fillId="14" borderId="1" xfId="1" applyFont="1" applyFill="1" applyBorder="1" applyAlignment="1">
      <alignment horizontal="center" vertical="center" wrapText="1"/>
    </xf>
    <xf numFmtId="0" fontId="15" fillId="14" borderId="1" xfId="1" applyFont="1" applyFill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textRotation="90" wrapText="1"/>
    </xf>
    <xf numFmtId="0" fontId="12" fillId="12" borderId="1" xfId="0" applyFont="1" applyFill="1" applyBorder="1" applyAlignment="1">
      <alignment horizontal="center" vertical="center" textRotation="90" wrapText="1"/>
    </xf>
    <xf numFmtId="0" fontId="12" fillId="16" borderId="1" xfId="0" applyFont="1" applyFill="1" applyBorder="1" applyAlignment="1">
      <alignment horizontal="center" vertical="center" textRotation="90" wrapText="1"/>
    </xf>
    <xf numFmtId="0" fontId="12" fillId="19" borderId="1" xfId="0" applyFont="1" applyFill="1" applyBorder="1" applyAlignment="1">
      <alignment horizontal="center" vertical="center" textRotation="90" wrapText="1"/>
    </xf>
    <xf numFmtId="0" fontId="12" fillId="5" borderId="1" xfId="0" applyFont="1" applyFill="1" applyBorder="1" applyAlignment="1">
      <alignment horizontal="center" vertical="center" textRotation="90" wrapText="1"/>
    </xf>
    <xf numFmtId="0" fontId="12" fillId="6" borderId="1" xfId="0" applyFont="1" applyFill="1" applyBorder="1" applyAlignment="1">
      <alignment horizontal="center" vertical="center" textRotation="90" wrapText="1"/>
    </xf>
    <xf numFmtId="0" fontId="12" fillId="4" borderId="1" xfId="0" applyFont="1" applyFill="1" applyBorder="1" applyAlignment="1">
      <alignment horizontal="center" vertical="center" textRotation="90" wrapText="1"/>
    </xf>
    <xf numFmtId="0" fontId="12" fillId="7" borderId="1" xfId="0" applyFont="1" applyFill="1" applyBorder="1" applyAlignment="1">
      <alignment horizontal="center" vertical="center" textRotation="90" wrapText="1"/>
    </xf>
    <xf numFmtId="0" fontId="12" fillId="17" borderId="1" xfId="0" applyFont="1" applyFill="1" applyBorder="1" applyAlignment="1">
      <alignment horizontal="center" vertical="center" textRotation="90" wrapText="1"/>
    </xf>
    <xf numFmtId="0" fontId="12" fillId="10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4" fillId="6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2" fillId="17" borderId="9" xfId="0" applyFont="1" applyFill="1" applyBorder="1" applyAlignment="1">
      <alignment horizontal="center" vertical="center" textRotation="90" wrapText="1"/>
    </xf>
    <xf numFmtId="0" fontId="12" fillId="17" borderId="10" xfId="0" applyFont="1" applyFill="1" applyBorder="1" applyAlignment="1">
      <alignment horizontal="center" vertical="center" textRotation="90" wrapText="1"/>
    </xf>
    <xf numFmtId="0" fontId="12" fillId="10" borderId="9" xfId="0" applyFont="1" applyFill="1" applyBorder="1" applyAlignment="1">
      <alignment horizontal="center" vertical="center" textRotation="90" wrapText="1"/>
    </xf>
    <xf numFmtId="0" fontId="12" fillId="10" borderId="10" xfId="0" applyFont="1" applyFill="1" applyBorder="1" applyAlignment="1">
      <alignment horizontal="center" vertical="center" textRotation="90" wrapText="1"/>
    </xf>
    <xf numFmtId="0" fontId="12" fillId="14" borderId="9" xfId="0" applyFont="1" applyFill="1" applyBorder="1" applyAlignment="1">
      <alignment horizontal="center" vertical="center" textRotation="90" wrapText="1"/>
    </xf>
    <xf numFmtId="0" fontId="12" fillId="14" borderId="10" xfId="0" applyFont="1" applyFill="1" applyBorder="1" applyAlignment="1">
      <alignment horizontal="center" vertical="center" textRotation="90" wrapText="1"/>
    </xf>
    <xf numFmtId="0" fontId="12" fillId="3" borderId="9" xfId="0" applyFont="1" applyFill="1" applyBorder="1" applyAlignment="1">
      <alignment horizontal="center" vertical="center" textRotation="90" wrapText="1"/>
    </xf>
    <xf numFmtId="0" fontId="12" fillId="3" borderId="10" xfId="0" applyFont="1" applyFill="1" applyBorder="1" applyAlignment="1">
      <alignment horizontal="center" vertical="center" textRotation="90" wrapText="1"/>
    </xf>
    <xf numFmtId="0" fontId="12" fillId="15" borderId="9" xfId="0" applyFont="1" applyFill="1" applyBorder="1" applyAlignment="1">
      <alignment horizontal="center" vertical="center" textRotation="90" wrapText="1"/>
    </xf>
    <xf numFmtId="0" fontId="12" fillId="15" borderId="10" xfId="0" applyFont="1" applyFill="1" applyBorder="1" applyAlignment="1">
      <alignment horizontal="center" vertical="center" textRotation="90" wrapText="1"/>
    </xf>
    <xf numFmtId="0" fontId="12" fillId="12" borderId="9" xfId="0" applyFont="1" applyFill="1" applyBorder="1" applyAlignment="1">
      <alignment horizontal="center" vertical="center" textRotation="90" wrapText="1"/>
    </xf>
    <xf numFmtId="0" fontId="12" fillId="12" borderId="10" xfId="0" applyFont="1" applyFill="1" applyBorder="1" applyAlignment="1">
      <alignment horizontal="center" vertical="center" textRotation="90" wrapText="1"/>
    </xf>
    <xf numFmtId="0" fontId="12" fillId="16" borderId="9" xfId="0" applyFont="1" applyFill="1" applyBorder="1" applyAlignment="1">
      <alignment horizontal="center" vertical="center" textRotation="90" wrapText="1"/>
    </xf>
    <xf numFmtId="0" fontId="12" fillId="16" borderId="10" xfId="0" applyFont="1" applyFill="1" applyBorder="1" applyAlignment="1">
      <alignment horizontal="center" vertical="center" textRotation="90" wrapText="1"/>
    </xf>
    <xf numFmtId="0" fontId="12" fillId="25" borderId="9" xfId="0" applyFont="1" applyFill="1" applyBorder="1" applyAlignment="1">
      <alignment horizontal="center" vertical="center" textRotation="90" wrapText="1"/>
    </xf>
    <xf numFmtId="0" fontId="12" fillId="25" borderId="10" xfId="0" applyFont="1" applyFill="1" applyBorder="1" applyAlignment="1">
      <alignment horizontal="center" vertical="center" textRotation="90" wrapText="1"/>
    </xf>
    <xf numFmtId="0" fontId="12" fillId="5" borderId="9" xfId="0" applyFont="1" applyFill="1" applyBorder="1" applyAlignment="1">
      <alignment horizontal="center" vertical="center" textRotation="90" wrapText="1"/>
    </xf>
    <xf numFmtId="0" fontId="12" fillId="5" borderId="10" xfId="0" applyFont="1" applyFill="1" applyBorder="1" applyAlignment="1">
      <alignment horizontal="center" vertical="center" textRotation="90" wrapText="1"/>
    </xf>
    <xf numFmtId="0" fontId="1" fillId="24" borderId="9" xfId="0" applyFont="1" applyFill="1" applyBorder="1" applyAlignment="1">
      <alignment horizontal="center" vertical="center" textRotation="90"/>
    </xf>
    <xf numFmtId="0" fontId="1" fillId="24" borderId="10" xfId="0" applyFont="1" applyFill="1" applyBorder="1" applyAlignment="1">
      <alignment horizontal="center" vertical="center" textRotation="90"/>
    </xf>
    <xf numFmtId="0" fontId="1" fillId="11" borderId="9" xfId="0" applyFont="1" applyFill="1" applyBorder="1" applyAlignment="1">
      <alignment horizontal="center" vertical="center" textRotation="90"/>
    </xf>
    <xf numFmtId="0" fontId="1" fillId="11" borderId="10" xfId="0" applyFont="1" applyFill="1" applyBorder="1" applyAlignment="1">
      <alignment horizontal="center" vertical="center" textRotation="90"/>
    </xf>
    <xf numFmtId="0" fontId="12" fillId="6" borderId="9" xfId="0" applyFont="1" applyFill="1" applyBorder="1" applyAlignment="1">
      <alignment horizontal="center" vertical="center" textRotation="90" wrapText="1"/>
    </xf>
    <xf numFmtId="0" fontId="12" fillId="6" borderId="10" xfId="0" applyFont="1" applyFill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12" fillId="30" borderId="1" xfId="0" applyFont="1" applyFill="1" applyBorder="1" applyAlignment="1">
      <alignment horizontal="center" vertical="center" textRotation="90" wrapText="1"/>
    </xf>
    <xf numFmtId="0" fontId="12" fillId="28" borderId="1" xfId="0" applyFont="1" applyFill="1" applyBorder="1" applyAlignment="1">
      <alignment horizontal="center" vertical="center" textRotation="90" wrapText="1"/>
    </xf>
    <xf numFmtId="0" fontId="12" fillId="29" borderId="1" xfId="0" applyFont="1" applyFill="1" applyBorder="1" applyAlignment="1">
      <alignment horizontal="center" vertical="center" textRotation="90" wrapText="1"/>
    </xf>
    <xf numFmtId="0" fontId="12" fillId="8" borderId="1" xfId="0" applyFont="1" applyFill="1" applyBorder="1" applyAlignment="1">
      <alignment horizontal="center" vertical="center" textRotation="90" wrapText="1"/>
    </xf>
    <xf numFmtId="0" fontId="12" fillId="9" borderId="1" xfId="0" applyFont="1" applyFill="1" applyBorder="1" applyAlignment="1">
      <alignment horizontal="center" vertical="center" textRotation="90" wrapText="1"/>
    </xf>
    <xf numFmtId="0" fontId="12" fillId="20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textRotation="90" wrapText="1"/>
    </xf>
    <xf numFmtId="0" fontId="12" fillId="4" borderId="11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textRotation="90" wrapText="1"/>
    </xf>
    <xf numFmtId="0" fontId="13" fillId="18" borderId="9" xfId="0" applyFont="1" applyFill="1" applyBorder="1" applyAlignment="1">
      <alignment horizontal="center" vertical="center" textRotation="90" wrapText="1"/>
    </xf>
    <xf numFmtId="0" fontId="13" fillId="18" borderId="11" xfId="0" applyFont="1" applyFill="1" applyBorder="1" applyAlignment="1">
      <alignment horizontal="center" vertical="center" textRotation="90" wrapText="1"/>
    </xf>
    <xf numFmtId="0" fontId="13" fillId="18" borderId="10" xfId="0" applyFont="1" applyFill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textRotation="90"/>
    </xf>
    <xf numFmtId="0" fontId="1" fillId="30" borderId="10" xfId="0" applyFont="1" applyFill="1" applyBorder="1" applyAlignment="1">
      <alignment horizontal="center" vertical="center" textRotation="90"/>
    </xf>
    <xf numFmtId="0" fontId="1" fillId="17" borderId="1" xfId="0" applyFont="1" applyFill="1" applyBorder="1" applyAlignment="1">
      <alignment horizontal="center" vertical="center" textRotation="90"/>
    </xf>
    <xf numFmtId="0" fontId="12" fillId="11" borderId="1" xfId="0" applyFont="1" applyFill="1" applyBorder="1" applyAlignment="1">
      <alignment horizontal="center" vertical="center" textRotation="90" wrapText="1"/>
    </xf>
    <xf numFmtId="0" fontId="12" fillId="27" borderId="1" xfId="0" applyFont="1" applyFill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12" fillId="20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16" borderId="11" xfId="0" applyFont="1" applyFill="1" applyBorder="1" applyAlignment="1">
      <alignment horizontal="center" vertical="center" textRotation="90" wrapText="1"/>
    </xf>
    <xf numFmtId="0" fontId="13" fillId="22" borderId="21" xfId="0" applyFont="1" applyFill="1" applyBorder="1" applyAlignment="1">
      <alignment horizontal="center" vertical="center" textRotation="90" wrapText="1"/>
    </xf>
    <xf numFmtId="0" fontId="13" fillId="22" borderId="11" xfId="0" applyFont="1" applyFill="1" applyBorder="1" applyAlignment="1">
      <alignment horizontal="center" vertical="center" textRotation="90" wrapText="1"/>
    </xf>
    <xf numFmtId="0" fontId="13" fillId="22" borderId="10" xfId="0" applyFont="1" applyFill="1" applyBorder="1" applyAlignment="1">
      <alignment horizontal="center" vertical="center" textRotation="90" wrapText="1"/>
    </xf>
    <xf numFmtId="0" fontId="13" fillId="11" borderId="11" xfId="0" applyFont="1" applyFill="1" applyBorder="1" applyAlignment="1">
      <alignment horizontal="center" vertical="center" textRotation="90" wrapText="1"/>
    </xf>
    <xf numFmtId="0" fontId="13" fillId="11" borderId="10" xfId="0" applyFont="1" applyFill="1" applyBorder="1" applyAlignment="1">
      <alignment horizontal="center" vertical="center" textRotation="90" wrapText="1"/>
    </xf>
    <xf numFmtId="0" fontId="1" fillId="11" borderId="1" xfId="0" applyFont="1" applyFill="1" applyBorder="1" applyAlignment="1">
      <alignment horizontal="center" vertical="center" textRotation="90"/>
    </xf>
    <xf numFmtId="0" fontId="12" fillId="13" borderId="1" xfId="0" applyFont="1" applyFill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3">
    <cellStyle name="Обычный" xfId="0" builtinId="0"/>
    <cellStyle name="Примечание" xfId="1" builtinId="10"/>
    <cellStyle name="Процентный" xfId="2" builtinId="5"/>
  </cellStyles>
  <dxfs count="0"/>
  <tableStyles count="0" defaultTableStyle="TableStyleMedium9" defaultPivotStyle="PivotStyleLight16"/>
  <colors>
    <mruColors>
      <color rgb="FF66FF99"/>
      <color rgb="FFFF0000"/>
      <color rgb="FFFF66FF"/>
      <color rgb="FFCC00FF"/>
      <color rgb="FFCCFF99"/>
      <color rgb="FFCCCCFF"/>
      <color rgb="FF9999FF"/>
      <color rgb="FFFFFF99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zoomScaleNormal="100" workbookViewId="0">
      <pane ySplit="1" topLeftCell="A20" activePane="bottomLeft" state="frozen"/>
      <selection pane="bottomLeft" activeCell="D6" sqref="D6"/>
    </sheetView>
  </sheetViews>
  <sheetFormatPr defaultRowHeight="15.75" x14ac:dyDescent="0.25"/>
  <cols>
    <col min="1" max="1" width="6.85546875" style="142" customWidth="1"/>
    <col min="2" max="2" width="30.7109375" style="140" customWidth="1"/>
    <col min="3" max="3" width="37.140625" style="138" customWidth="1"/>
    <col min="4" max="4" width="36.140625" style="141" customWidth="1"/>
    <col min="5" max="5" width="27.5703125" style="135" customWidth="1"/>
    <col min="6" max="6" width="7.140625" style="136" customWidth="1"/>
    <col min="7" max="7" width="8" style="136" customWidth="1"/>
    <col min="8" max="8" width="14.140625" style="136" customWidth="1"/>
    <col min="9" max="9" width="11.85546875" style="136" customWidth="1"/>
    <col min="10" max="10" width="11.7109375" style="139" customWidth="1"/>
    <col min="11" max="11" width="9.140625" style="134"/>
    <col min="12" max="12" width="17.5703125" style="134" customWidth="1"/>
    <col min="13" max="16384" width="9.140625" style="134"/>
  </cols>
  <sheetData>
    <row r="1" spans="1:12" ht="72" customHeight="1" thickBot="1" x14ac:dyDescent="0.3">
      <c r="A1" s="146" t="s">
        <v>9</v>
      </c>
      <c r="B1" s="83" t="s">
        <v>0</v>
      </c>
      <c r="C1" s="143" t="s">
        <v>2</v>
      </c>
      <c r="D1" s="81" t="s">
        <v>1</v>
      </c>
      <c r="E1" s="83" t="s">
        <v>4</v>
      </c>
      <c r="F1" s="79" t="s">
        <v>8</v>
      </c>
      <c r="G1" s="80" t="s">
        <v>7</v>
      </c>
      <c r="H1" s="80" t="s">
        <v>5</v>
      </c>
      <c r="I1" s="81" t="s">
        <v>6</v>
      </c>
      <c r="J1" s="79" t="s">
        <v>3</v>
      </c>
      <c r="L1" s="163" t="s">
        <v>143</v>
      </c>
    </row>
    <row r="2" spans="1:12" ht="33" customHeight="1" thickBot="1" x14ac:dyDescent="0.3">
      <c r="A2" s="145">
        <v>1</v>
      </c>
      <c r="B2" s="167" t="s">
        <v>151</v>
      </c>
      <c r="C2" s="167" t="s">
        <v>156</v>
      </c>
      <c r="D2" s="144" t="s">
        <v>12</v>
      </c>
      <c r="E2" s="144" t="s">
        <v>81</v>
      </c>
      <c r="F2" s="52">
        <v>9</v>
      </c>
      <c r="G2" s="53"/>
      <c r="H2" s="169">
        <v>41</v>
      </c>
      <c r="I2" s="56" t="e">
        <f>H2/G2</f>
        <v>#DIV/0!</v>
      </c>
      <c r="J2" s="165" t="s">
        <v>68</v>
      </c>
    </row>
    <row r="3" spans="1:12" ht="33" customHeight="1" thickBot="1" x14ac:dyDescent="0.3">
      <c r="A3" s="147">
        <v>2</v>
      </c>
      <c r="B3" s="168" t="s">
        <v>152</v>
      </c>
      <c r="C3" s="168" t="s">
        <v>156</v>
      </c>
      <c r="D3" s="144" t="s">
        <v>12</v>
      </c>
      <c r="E3" s="144" t="s">
        <v>81</v>
      </c>
      <c r="F3" s="52">
        <v>9</v>
      </c>
      <c r="G3" s="53"/>
      <c r="H3" s="169">
        <v>24</v>
      </c>
      <c r="I3" s="56" t="e">
        <f>H3/G3</f>
        <v>#DIV/0!</v>
      </c>
      <c r="J3" s="169"/>
    </row>
    <row r="4" spans="1:12" ht="33" customHeight="1" thickBot="1" x14ac:dyDescent="0.3">
      <c r="A4" s="145">
        <v>3</v>
      </c>
      <c r="B4" s="168" t="s">
        <v>153</v>
      </c>
      <c r="C4" s="168" t="s">
        <v>134</v>
      </c>
      <c r="D4" s="144" t="s">
        <v>21</v>
      </c>
      <c r="E4" s="144" t="s">
        <v>81</v>
      </c>
      <c r="F4" s="153">
        <v>9</v>
      </c>
      <c r="G4" s="53"/>
      <c r="H4" s="169">
        <v>32</v>
      </c>
      <c r="I4" s="56" t="e">
        <f>H4/G4</f>
        <v>#DIV/0!</v>
      </c>
      <c r="J4" s="169"/>
    </row>
    <row r="5" spans="1:12" ht="33" customHeight="1" thickBot="1" x14ac:dyDescent="0.3">
      <c r="A5" s="145">
        <v>4</v>
      </c>
      <c r="B5" s="168" t="s">
        <v>154</v>
      </c>
      <c r="C5" s="168" t="s">
        <v>134</v>
      </c>
      <c r="D5" s="144" t="s">
        <v>21</v>
      </c>
      <c r="E5" s="144" t="s">
        <v>81</v>
      </c>
      <c r="F5" s="153">
        <v>9</v>
      </c>
      <c r="G5" s="53"/>
      <c r="H5" s="169">
        <v>39</v>
      </c>
      <c r="I5" s="56"/>
      <c r="J5" s="169"/>
    </row>
    <row r="6" spans="1:12" ht="33" customHeight="1" thickBot="1" x14ac:dyDescent="0.3">
      <c r="A6" s="147">
        <v>5</v>
      </c>
      <c r="B6" s="168" t="s">
        <v>155</v>
      </c>
      <c r="C6" s="168" t="s">
        <v>132</v>
      </c>
      <c r="D6" s="144" t="s">
        <v>87</v>
      </c>
      <c r="E6" s="144" t="s">
        <v>81</v>
      </c>
      <c r="F6" s="153">
        <v>9</v>
      </c>
      <c r="G6" s="53"/>
      <c r="H6" s="169">
        <v>79</v>
      </c>
      <c r="I6" s="56"/>
      <c r="J6" s="165" t="s">
        <v>17</v>
      </c>
    </row>
    <row r="7" spans="1:12" ht="33" customHeight="1" thickBot="1" x14ac:dyDescent="0.3">
      <c r="A7" s="145">
        <v>6</v>
      </c>
      <c r="B7" s="168" t="s">
        <v>122</v>
      </c>
      <c r="C7" s="168" t="s">
        <v>156</v>
      </c>
      <c r="D7" s="144" t="s">
        <v>12</v>
      </c>
      <c r="E7" s="144" t="s">
        <v>81</v>
      </c>
      <c r="F7" s="159">
        <v>10</v>
      </c>
      <c r="G7" s="53"/>
      <c r="H7" s="169">
        <v>91</v>
      </c>
      <c r="I7" s="56"/>
      <c r="J7" s="165" t="s">
        <v>17</v>
      </c>
    </row>
    <row r="8" spans="1:12" ht="33" customHeight="1" thickBot="1" x14ac:dyDescent="0.3">
      <c r="A8" s="145">
        <v>7</v>
      </c>
      <c r="B8" s="168" t="s">
        <v>117</v>
      </c>
      <c r="C8" s="168" t="s">
        <v>132</v>
      </c>
      <c r="D8" s="144" t="s">
        <v>87</v>
      </c>
      <c r="E8" s="144" t="s">
        <v>81</v>
      </c>
      <c r="F8" s="160">
        <v>11</v>
      </c>
      <c r="G8" s="53"/>
      <c r="H8" s="169">
        <v>40</v>
      </c>
      <c r="I8" s="56"/>
      <c r="J8" s="165" t="s">
        <v>68</v>
      </c>
    </row>
    <row r="9" spans="1:12" ht="33" customHeight="1" thickBot="1" x14ac:dyDescent="0.3">
      <c r="A9" s="147">
        <v>8</v>
      </c>
      <c r="B9" s="168" t="s">
        <v>140</v>
      </c>
      <c r="C9" s="168" t="s">
        <v>133</v>
      </c>
      <c r="D9" s="144" t="s">
        <v>13</v>
      </c>
      <c r="E9" s="144" t="s">
        <v>81</v>
      </c>
      <c r="F9" s="161">
        <v>11</v>
      </c>
      <c r="G9" s="53"/>
      <c r="H9" s="169">
        <v>15</v>
      </c>
      <c r="I9" s="56"/>
      <c r="J9" s="161"/>
    </row>
    <row r="10" spans="1:12" ht="33" customHeight="1" thickBot="1" x14ac:dyDescent="0.3">
      <c r="A10" s="145">
        <v>9</v>
      </c>
      <c r="B10" s="168" t="s">
        <v>157</v>
      </c>
      <c r="C10" s="168" t="s">
        <v>96</v>
      </c>
      <c r="D10" s="144" t="s">
        <v>12</v>
      </c>
      <c r="E10" s="144" t="s">
        <v>80</v>
      </c>
      <c r="F10" s="152">
        <v>10</v>
      </c>
      <c r="G10" s="144">
        <v>215</v>
      </c>
      <c r="H10" s="169">
        <v>87</v>
      </c>
      <c r="I10" s="56">
        <f>H10/G10</f>
        <v>0.40465116279069768</v>
      </c>
      <c r="J10" s="174" t="s">
        <v>68</v>
      </c>
    </row>
    <row r="11" spans="1:12" ht="33" customHeight="1" thickBot="1" x14ac:dyDescent="0.3">
      <c r="A11" s="145">
        <v>10</v>
      </c>
      <c r="B11" s="168" t="s">
        <v>158</v>
      </c>
      <c r="C11" s="168" t="s">
        <v>96</v>
      </c>
      <c r="D11" s="144" t="s">
        <v>12</v>
      </c>
      <c r="E11" s="144" t="s">
        <v>80</v>
      </c>
      <c r="F11" s="3">
        <v>10</v>
      </c>
      <c r="G11" s="53">
        <v>215</v>
      </c>
      <c r="H11" s="169">
        <v>87</v>
      </c>
      <c r="I11" s="56">
        <f>H11/G11</f>
        <v>0.40465116279069768</v>
      </c>
      <c r="J11" s="174" t="s">
        <v>68</v>
      </c>
    </row>
    <row r="12" spans="1:12" ht="33" customHeight="1" thickBot="1" x14ac:dyDescent="0.3">
      <c r="A12" s="147">
        <v>11</v>
      </c>
      <c r="B12" s="168" t="s">
        <v>124</v>
      </c>
      <c r="C12" s="168" t="s">
        <v>95</v>
      </c>
      <c r="D12" s="144" t="s">
        <v>21</v>
      </c>
      <c r="E12" s="144" t="s">
        <v>80</v>
      </c>
      <c r="F12" s="3">
        <v>10</v>
      </c>
      <c r="G12" s="53">
        <v>215</v>
      </c>
      <c r="H12" s="169">
        <v>72</v>
      </c>
      <c r="I12" s="56">
        <f>H12/G12</f>
        <v>0.33488372093023255</v>
      </c>
      <c r="J12" s="54"/>
    </row>
    <row r="13" spans="1:12" s="137" customFormat="1" ht="33" customHeight="1" thickBot="1" x14ac:dyDescent="0.3">
      <c r="A13" s="145">
        <v>12</v>
      </c>
      <c r="B13" s="168" t="s">
        <v>123</v>
      </c>
      <c r="C13" s="168" t="s">
        <v>95</v>
      </c>
      <c r="D13" s="144" t="s">
        <v>21</v>
      </c>
      <c r="E13" s="144" t="s">
        <v>80</v>
      </c>
      <c r="F13" s="3">
        <v>10</v>
      </c>
      <c r="G13" s="53">
        <v>215</v>
      </c>
      <c r="H13" s="169">
        <v>70</v>
      </c>
      <c r="I13" s="56">
        <f>H13/G13</f>
        <v>0.32558139534883723</v>
      </c>
      <c r="J13" s="52"/>
    </row>
    <row r="14" spans="1:12" s="137" customFormat="1" ht="33.75" thickBot="1" x14ac:dyDescent="0.3">
      <c r="A14" s="145">
        <v>13</v>
      </c>
      <c r="B14" s="168" t="s">
        <v>159</v>
      </c>
      <c r="C14" s="168" t="s">
        <v>96</v>
      </c>
      <c r="D14" s="144" t="s">
        <v>12</v>
      </c>
      <c r="E14" s="144" t="s">
        <v>80</v>
      </c>
      <c r="F14" s="3">
        <v>10</v>
      </c>
      <c r="G14" s="53">
        <v>215</v>
      </c>
      <c r="H14" s="169">
        <v>58</v>
      </c>
      <c r="I14" s="56">
        <f>H14/G14</f>
        <v>0.26976744186046514</v>
      </c>
      <c r="J14" s="52"/>
    </row>
    <row r="15" spans="1:12" s="137" customFormat="1" ht="36" customHeight="1" thickBot="1" x14ac:dyDescent="0.3">
      <c r="A15" s="147">
        <v>14</v>
      </c>
      <c r="B15" s="168" t="s">
        <v>160</v>
      </c>
      <c r="C15" s="168" t="s">
        <v>164</v>
      </c>
      <c r="D15" s="144" t="s">
        <v>13</v>
      </c>
      <c r="E15" s="144" t="s">
        <v>80</v>
      </c>
      <c r="F15" s="3">
        <v>11</v>
      </c>
      <c r="G15" s="53">
        <v>265</v>
      </c>
      <c r="H15" s="169">
        <v>114</v>
      </c>
      <c r="I15" s="56">
        <f t="shared" ref="I15:I17" si="0">H15/G15</f>
        <v>0.43018867924528303</v>
      </c>
      <c r="J15" s="177" t="s">
        <v>68</v>
      </c>
    </row>
    <row r="16" spans="1:12" s="137" customFormat="1" ht="33" customHeight="1" thickBot="1" x14ac:dyDescent="0.3">
      <c r="A16" s="145">
        <v>15</v>
      </c>
      <c r="B16" s="168" t="s">
        <v>161</v>
      </c>
      <c r="C16" s="168" t="s">
        <v>119</v>
      </c>
      <c r="D16" s="144" t="s">
        <v>21</v>
      </c>
      <c r="E16" s="144" t="s">
        <v>80</v>
      </c>
      <c r="F16" s="3">
        <v>11</v>
      </c>
      <c r="G16" s="53">
        <v>265</v>
      </c>
      <c r="H16" s="169">
        <v>70</v>
      </c>
      <c r="I16" s="56">
        <f t="shared" si="0"/>
        <v>0.26415094339622641</v>
      </c>
      <c r="J16" s="154"/>
    </row>
    <row r="17" spans="1:10" s="137" customFormat="1" ht="33" customHeight="1" thickBot="1" x14ac:dyDescent="0.3">
      <c r="A17" s="145">
        <v>16</v>
      </c>
      <c r="B17" s="168" t="s">
        <v>137</v>
      </c>
      <c r="C17" s="168" t="s">
        <v>164</v>
      </c>
      <c r="D17" s="144" t="s">
        <v>13</v>
      </c>
      <c r="E17" s="144" t="s">
        <v>80</v>
      </c>
      <c r="F17" s="3">
        <v>11</v>
      </c>
      <c r="G17" s="53">
        <v>265</v>
      </c>
      <c r="H17" s="169">
        <v>57</v>
      </c>
      <c r="I17" s="56">
        <f t="shared" si="0"/>
        <v>0.21509433962264152</v>
      </c>
      <c r="J17" s="154"/>
    </row>
    <row r="18" spans="1:10" s="137" customFormat="1" ht="33" customHeight="1" thickBot="1" x14ac:dyDescent="0.3">
      <c r="A18" s="147">
        <v>17</v>
      </c>
      <c r="B18" s="168" t="s">
        <v>162</v>
      </c>
      <c r="C18" s="168" t="s">
        <v>96</v>
      </c>
      <c r="D18" s="144" t="s">
        <v>12</v>
      </c>
      <c r="E18" s="144" t="s">
        <v>80</v>
      </c>
      <c r="F18" s="3">
        <v>11</v>
      </c>
      <c r="G18" s="53">
        <v>265</v>
      </c>
      <c r="H18" s="169">
        <v>52</v>
      </c>
      <c r="I18" s="56">
        <f t="shared" ref="I18:I52" si="1">H18/G18</f>
        <v>0.19622641509433963</v>
      </c>
      <c r="J18" s="154"/>
    </row>
    <row r="19" spans="1:10" s="137" customFormat="1" ht="33" customHeight="1" thickBot="1" x14ac:dyDescent="0.3">
      <c r="A19" s="145">
        <v>18</v>
      </c>
      <c r="B19" s="168" t="s">
        <v>163</v>
      </c>
      <c r="C19" s="168" t="s">
        <v>164</v>
      </c>
      <c r="D19" s="144" t="s">
        <v>13</v>
      </c>
      <c r="E19" s="144" t="s">
        <v>80</v>
      </c>
      <c r="F19" s="3">
        <v>11</v>
      </c>
      <c r="G19" s="53">
        <v>265</v>
      </c>
      <c r="H19" s="169">
        <v>36</v>
      </c>
      <c r="I19" s="56">
        <f t="shared" si="1"/>
        <v>0.13584905660377358</v>
      </c>
      <c r="J19" s="52"/>
    </row>
    <row r="20" spans="1:10" s="137" customFormat="1" ht="33" customHeight="1" thickBot="1" x14ac:dyDescent="0.3">
      <c r="A20" s="145">
        <v>19</v>
      </c>
      <c r="B20" s="168" t="s">
        <v>165</v>
      </c>
      <c r="C20" s="168" t="s">
        <v>109</v>
      </c>
      <c r="D20" s="144" t="s">
        <v>21</v>
      </c>
      <c r="E20" s="144" t="s">
        <v>78</v>
      </c>
      <c r="F20" s="54">
        <v>9</v>
      </c>
      <c r="G20" s="54">
        <v>118</v>
      </c>
      <c r="H20" s="169">
        <v>5</v>
      </c>
      <c r="I20" s="56">
        <f t="shared" si="1"/>
        <v>4.2372881355932202E-2</v>
      </c>
      <c r="J20" s="52"/>
    </row>
    <row r="21" spans="1:10" s="137" customFormat="1" ht="33.75" thickBot="1" x14ac:dyDescent="0.3">
      <c r="A21" s="147">
        <v>20</v>
      </c>
      <c r="B21" s="168" t="s">
        <v>166</v>
      </c>
      <c r="C21" s="168" t="s">
        <v>108</v>
      </c>
      <c r="D21" s="144" t="s">
        <v>87</v>
      </c>
      <c r="E21" s="144" t="s">
        <v>78</v>
      </c>
      <c r="F21" s="54">
        <v>9</v>
      </c>
      <c r="G21" s="54">
        <v>118</v>
      </c>
      <c r="H21" s="169">
        <v>7</v>
      </c>
      <c r="I21" s="169">
        <f t="shared" si="1"/>
        <v>5.9322033898305086E-2</v>
      </c>
      <c r="J21" s="169"/>
    </row>
    <row r="22" spans="1:10" s="137" customFormat="1" ht="33" customHeight="1" thickBot="1" x14ac:dyDescent="0.3">
      <c r="A22" s="145">
        <v>21</v>
      </c>
      <c r="B22" s="168" t="s">
        <v>167</v>
      </c>
      <c r="C22" s="168" t="s">
        <v>172</v>
      </c>
      <c r="D22" s="144" t="s">
        <v>12</v>
      </c>
      <c r="E22" s="144" t="s">
        <v>49</v>
      </c>
      <c r="F22" s="54">
        <v>9</v>
      </c>
      <c r="G22" s="54"/>
      <c r="H22" s="169">
        <v>50.75</v>
      </c>
      <c r="I22" s="169" t="e">
        <f t="shared" si="1"/>
        <v>#DIV/0!</v>
      </c>
      <c r="J22" s="169" t="s">
        <v>16</v>
      </c>
    </row>
    <row r="23" spans="1:10" s="137" customFormat="1" ht="33" customHeight="1" thickBot="1" x14ac:dyDescent="0.3">
      <c r="A23" s="145">
        <v>22</v>
      </c>
      <c r="B23" s="168" t="s">
        <v>168</v>
      </c>
      <c r="C23" s="168" t="s">
        <v>172</v>
      </c>
      <c r="D23" s="144" t="s">
        <v>12</v>
      </c>
      <c r="E23" s="144" t="s">
        <v>49</v>
      </c>
      <c r="F23" s="54">
        <v>9</v>
      </c>
      <c r="G23" s="54"/>
      <c r="H23" s="169">
        <v>37.75</v>
      </c>
      <c r="I23" s="169" t="e">
        <f t="shared" si="1"/>
        <v>#DIV/0!</v>
      </c>
      <c r="J23" s="169"/>
    </row>
    <row r="24" spans="1:10" s="137" customFormat="1" ht="33" customHeight="1" thickBot="1" x14ac:dyDescent="0.3">
      <c r="A24" s="147">
        <v>23</v>
      </c>
      <c r="B24" s="168" t="s">
        <v>169</v>
      </c>
      <c r="C24" s="168" t="s">
        <v>172</v>
      </c>
      <c r="D24" s="144" t="s">
        <v>12</v>
      </c>
      <c r="E24" s="144" t="s">
        <v>49</v>
      </c>
      <c r="F24" s="54">
        <v>9</v>
      </c>
      <c r="G24" s="54"/>
      <c r="H24" s="169">
        <v>40.25</v>
      </c>
      <c r="I24" s="169" t="e">
        <f t="shared" si="1"/>
        <v>#DIV/0!</v>
      </c>
      <c r="J24" s="169" t="s">
        <v>68</v>
      </c>
    </row>
    <row r="25" spans="1:10" s="137" customFormat="1" ht="33" customHeight="1" thickBot="1" x14ac:dyDescent="0.3">
      <c r="A25" s="145">
        <v>24</v>
      </c>
      <c r="B25" s="168" t="s">
        <v>170</v>
      </c>
      <c r="C25" s="168" t="s">
        <v>173</v>
      </c>
      <c r="D25" s="144" t="s">
        <v>21</v>
      </c>
      <c r="E25" s="144" t="s">
        <v>49</v>
      </c>
      <c r="F25" s="54">
        <v>9</v>
      </c>
      <c r="G25" s="54"/>
      <c r="H25" s="169">
        <v>28.25</v>
      </c>
      <c r="I25" s="169" t="e">
        <f t="shared" si="1"/>
        <v>#DIV/0!</v>
      </c>
      <c r="J25" s="169"/>
    </row>
    <row r="26" spans="1:10" s="137" customFormat="1" ht="33" customHeight="1" thickBot="1" x14ac:dyDescent="0.3">
      <c r="A26" s="145">
        <v>25</v>
      </c>
      <c r="B26" s="168" t="s">
        <v>171</v>
      </c>
      <c r="C26" s="168" t="s">
        <v>104</v>
      </c>
      <c r="D26" s="144" t="s">
        <v>87</v>
      </c>
      <c r="E26" s="144" t="s">
        <v>49</v>
      </c>
      <c r="F26" s="54">
        <v>9</v>
      </c>
      <c r="G26" s="54"/>
      <c r="H26" s="169">
        <v>71.5</v>
      </c>
      <c r="I26" s="169" t="e">
        <f t="shared" si="1"/>
        <v>#DIV/0!</v>
      </c>
      <c r="J26" s="169" t="s">
        <v>17</v>
      </c>
    </row>
    <row r="27" spans="1:10" s="137" customFormat="1" ht="33" customHeight="1" thickBot="1" x14ac:dyDescent="0.3">
      <c r="A27" s="147">
        <v>26</v>
      </c>
      <c r="B27" s="168" t="s">
        <v>174</v>
      </c>
      <c r="C27" s="168" t="s">
        <v>173</v>
      </c>
      <c r="D27" s="144" t="s">
        <v>21</v>
      </c>
      <c r="E27" s="144" t="s">
        <v>49</v>
      </c>
      <c r="F27" s="54">
        <v>10</v>
      </c>
      <c r="G27" s="54"/>
      <c r="H27" s="169">
        <v>25.5</v>
      </c>
      <c r="I27" s="169" t="e">
        <f t="shared" si="1"/>
        <v>#DIV/0!</v>
      </c>
      <c r="J27" s="169"/>
    </row>
    <row r="28" spans="1:10" s="137" customFormat="1" ht="33.75" thickBot="1" x14ac:dyDescent="0.3">
      <c r="A28" s="145">
        <v>27</v>
      </c>
      <c r="B28" s="168" t="s">
        <v>175</v>
      </c>
      <c r="C28" s="168" t="s">
        <v>177</v>
      </c>
      <c r="D28" s="144" t="s">
        <v>87</v>
      </c>
      <c r="E28" s="144" t="s">
        <v>49</v>
      </c>
      <c r="F28" s="54">
        <v>10</v>
      </c>
      <c r="G28" s="54"/>
      <c r="H28" s="169">
        <v>56.5</v>
      </c>
      <c r="I28" s="169" t="e">
        <f t="shared" si="1"/>
        <v>#DIV/0!</v>
      </c>
      <c r="J28" s="169" t="s">
        <v>16</v>
      </c>
    </row>
    <row r="29" spans="1:10" s="137" customFormat="1" ht="33" customHeight="1" thickBot="1" x14ac:dyDescent="0.3">
      <c r="A29" s="145">
        <v>28</v>
      </c>
      <c r="B29" s="168" t="s">
        <v>176</v>
      </c>
      <c r="C29" s="168" t="s">
        <v>177</v>
      </c>
      <c r="D29" s="144" t="s">
        <v>87</v>
      </c>
      <c r="E29" s="144" t="s">
        <v>49</v>
      </c>
      <c r="F29" s="54">
        <v>10</v>
      </c>
      <c r="G29" s="54"/>
      <c r="H29" s="169">
        <v>51</v>
      </c>
      <c r="I29" s="169" t="e">
        <f t="shared" si="1"/>
        <v>#DIV/0!</v>
      </c>
      <c r="J29" s="169" t="s">
        <v>16</v>
      </c>
    </row>
    <row r="30" spans="1:10" s="137" customFormat="1" ht="33" customHeight="1" thickBot="1" x14ac:dyDescent="0.3">
      <c r="A30" s="147">
        <v>29</v>
      </c>
      <c r="B30" s="168" t="s">
        <v>101</v>
      </c>
      <c r="C30" s="168" t="s">
        <v>105</v>
      </c>
      <c r="D30" s="144" t="s">
        <v>12</v>
      </c>
      <c r="E30" s="144" t="s">
        <v>49</v>
      </c>
      <c r="F30" s="54">
        <v>11</v>
      </c>
      <c r="G30" s="54"/>
      <c r="H30" s="169">
        <v>46</v>
      </c>
      <c r="I30" s="169" t="e">
        <f t="shared" si="1"/>
        <v>#DIV/0!</v>
      </c>
      <c r="J30" s="169" t="s">
        <v>68</v>
      </c>
    </row>
    <row r="31" spans="1:10" s="137" customFormat="1" ht="33" customHeight="1" thickBot="1" x14ac:dyDescent="0.3">
      <c r="A31" s="145">
        <v>30</v>
      </c>
      <c r="B31" s="168" t="s">
        <v>126</v>
      </c>
      <c r="C31" s="168" t="s">
        <v>104</v>
      </c>
      <c r="D31" s="144" t="s">
        <v>87</v>
      </c>
      <c r="E31" s="144" t="s">
        <v>49</v>
      </c>
      <c r="F31" s="54">
        <v>11</v>
      </c>
      <c r="G31" s="54"/>
      <c r="H31" s="169">
        <v>63.5</v>
      </c>
      <c r="I31" s="169" t="e">
        <f t="shared" si="1"/>
        <v>#DIV/0!</v>
      </c>
      <c r="J31" s="169" t="s">
        <v>15</v>
      </c>
    </row>
    <row r="32" spans="1:10" s="137" customFormat="1" ht="19.5" thickBot="1" x14ac:dyDescent="0.3">
      <c r="A32" s="145">
        <v>31</v>
      </c>
      <c r="B32" s="168" t="s">
        <v>178</v>
      </c>
      <c r="C32" s="168" t="s">
        <v>110</v>
      </c>
      <c r="D32" s="144" t="s">
        <v>21</v>
      </c>
      <c r="E32" s="144" t="s">
        <v>90</v>
      </c>
      <c r="F32" s="54">
        <v>9</v>
      </c>
      <c r="G32" s="54"/>
      <c r="H32" s="184" t="s">
        <v>184</v>
      </c>
      <c r="I32" s="56" t="e">
        <f t="shared" si="1"/>
        <v>#DIV/0!</v>
      </c>
      <c r="J32" s="183" t="s">
        <v>15</v>
      </c>
    </row>
    <row r="33" spans="1:10" s="137" customFormat="1" ht="33" customHeight="1" thickBot="1" x14ac:dyDescent="0.3">
      <c r="A33" s="147">
        <v>32</v>
      </c>
      <c r="B33" s="168" t="s">
        <v>179</v>
      </c>
      <c r="C33" s="168" t="s">
        <v>110</v>
      </c>
      <c r="D33" s="144" t="s">
        <v>21</v>
      </c>
      <c r="E33" s="144" t="s">
        <v>90</v>
      </c>
      <c r="F33" s="54">
        <v>9</v>
      </c>
      <c r="G33" s="54"/>
      <c r="H33" s="184" t="s">
        <v>185</v>
      </c>
      <c r="I33" s="56" t="e">
        <f t="shared" si="1"/>
        <v>#DIV/0!</v>
      </c>
      <c r="J33" s="183" t="s">
        <v>16</v>
      </c>
    </row>
    <row r="34" spans="1:10" s="137" customFormat="1" ht="33" customHeight="1" thickBot="1" x14ac:dyDescent="0.3">
      <c r="A34" s="145">
        <v>33</v>
      </c>
      <c r="B34" s="168" t="s">
        <v>180</v>
      </c>
      <c r="C34" s="168" t="s">
        <v>183</v>
      </c>
      <c r="D34" s="144" t="s">
        <v>11</v>
      </c>
      <c r="E34" s="144" t="s">
        <v>90</v>
      </c>
      <c r="F34" s="54">
        <v>10</v>
      </c>
      <c r="G34" s="54"/>
      <c r="H34" s="184" t="s">
        <v>186</v>
      </c>
      <c r="I34" s="56" t="e">
        <f t="shared" si="1"/>
        <v>#DIV/0!</v>
      </c>
      <c r="J34" s="169" t="s">
        <v>68</v>
      </c>
    </row>
    <row r="35" spans="1:10" s="137" customFormat="1" ht="33" customHeight="1" thickBot="1" x14ac:dyDescent="0.3">
      <c r="A35" s="145">
        <v>34</v>
      </c>
      <c r="B35" s="168" t="s">
        <v>181</v>
      </c>
      <c r="C35" s="168" t="s">
        <v>183</v>
      </c>
      <c r="D35" s="144" t="s">
        <v>11</v>
      </c>
      <c r="E35" s="144" t="s">
        <v>90</v>
      </c>
      <c r="F35" s="54">
        <v>10</v>
      </c>
      <c r="G35" s="54"/>
      <c r="H35" s="184" t="s">
        <v>187</v>
      </c>
      <c r="I35" s="56" t="e">
        <f t="shared" si="1"/>
        <v>#DIV/0!</v>
      </c>
      <c r="J35" s="154"/>
    </row>
    <row r="36" spans="1:10" s="137" customFormat="1" ht="29.25" customHeight="1" thickBot="1" x14ac:dyDescent="0.3">
      <c r="A36" s="147">
        <v>35</v>
      </c>
      <c r="B36" s="168" t="s">
        <v>182</v>
      </c>
      <c r="C36" s="168" t="s">
        <v>110</v>
      </c>
      <c r="D36" s="144" t="s">
        <v>21</v>
      </c>
      <c r="E36" s="144" t="s">
        <v>90</v>
      </c>
      <c r="F36" s="54">
        <v>9</v>
      </c>
      <c r="G36" s="54"/>
      <c r="H36" s="184" t="s">
        <v>188</v>
      </c>
      <c r="I36" s="56" t="e">
        <f t="shared" si="1"/>
        <v>#DIV/0!</v>
      </c>
      <c r="J36" s="52"/>
    </row>
    <row r="37" spans="1:10" s="137" customFormat="1" ht="33" customHeight="1" thickBot="1" x14ac:dyDescent="0.3">
      <c r="A37" s="145">
        <v>36</v>
      </c>
      <c r="B37" s="168" t="s">
        <v>189</v>
      </c>
      <c r="C37" s="168" t="s">
        <v>111</v>
      </c>
      <c r="D37" s="144" t="s">
        <v>21</v>
      </c>
      <c r="E37" s="144" t="s">
        <v>91</v>
      </c>
      <c r="F37" s="54">
        <v>10</v>
      </c>
      <c r="G37" s="54"/>
      <c r="H37" s="177">
        <v>85.6</v>
      </c>
      <c r="I37" s="56" t="e">
        <f t="shared" si="1"/>
        <v>#DIV/0!</v>
      </c>
      <c r="J37" s="177" t="s">
        <v>17</v>
      </c>
    </row>
    <row r="38" spans="1:10" s="137" customFormat="1" ht="33" customHeight="1" thickBot="1" x14ac:dyDescent="0.3">
      <c r="A38" s="145">
        <v>37</v>
      </c>
      <c r="B38" s="168" t="s">
        <v>190</v>
      </c>
      <c r="C38" s="168" t="s">
        <v>111</v>
      </c>
      <c r="D38" s="144" t="s">
        <v>21</v>
      </c>
      <c r="E38" s="144" t="s">
        <v>91</v>
      </c>
      <c r="F38" s="54">
        <v>10</v>
      </c>
      <c r="G38" s="54"/>
      <c r="H38" s="177">
        <v>66.8</v>
      </c>
      <c r="I38" s="56" t="e">
        <f t="shared" si="1"/>
        <v>#DIV/0!</v>
      </c>
      <c r="J38" s="177" t="s">
        <v>15</v>
      </c>
    </row>
    <row r="39" spans="1:10" s="137" customFormat="1" ht="33" customHeight="1" thickBot="1" x14ac:dyDescent="0.3">
      <c r="A39" s="147">
        <v>38</v>
      </c>
      <c r="B39" s="168" t="s">
        <v>191</v>
      </c>
      <c r="C39" s="168" t="s">
        <v>127</v>
      </c>
      <c r="D39" s="144" t="s">
        <v>11</v>
      </c>
      <c r="E39" s="144" t="s">
        <v>91</v>
      </c>
      <c r="F39" s="54">
        <v>9</v>
      </c>
      <c r="G39" s="54"/>
      <c r="H39" s="177">
        <v>54.9</v>
      </c>
      <c r="I39" s="56" t="e">
        <f t="shared" si="1"/>
        <v>#DIV/0!</v>
      </c>
      <c r="J39" s="177" t="s">
        <v>16</v>
      </c>
    </row>
    <row r="40" spans="1:10" s="137" customFormat="1" ht="33" customHeight="1" thickBot="1" x14ac:dyDescent="0.3">
      <c r="A40" s="145">
        <v>39</v>
      </c>
      <c r="B40" s="168" t="s">
        <v>192</v>
      </c>
      <c r="C40" s="168" t="s">
        <v>111</v>
      </c>
      <c r="D40" s="144" t="s">
        <v>21</v>
      </c>
      <c r="E40" s="144" t="s">
        <v>91</v>
      </c>
      <c r="F40" s="54">
        <v>9</v>
      </c>
      <c r="G40" s="54"/>
      <c r="H40" s="177">
        <v>42.8</v>
      </c>
      <c r="I40" s="56" t="e">
        <f t="shared" si="1"/>
        <v>#DIV/0!</v>
      </c>
      <c r="J40" s="169" t="s">
        <v>68</v>
      </c>
    </row>
    <row r="41" spans="1:10" s="137" customFormat="1" ht="33" customHeight="1" thickBot="1" x14ac:dyDescent="0.3">
      <c r="A41" s="145">
        <v>40</v>
      </c>
      <c r="B41" s="168" t="s">
        <v>193</v>
      </c>
      <c r="C41" s="168" t="s">
        <v>127</v>
      </c>
      <c r="D41" s="144" t="s">
        <v>11</v>
      </c>
      <c r="E41" s="144" t="s">
        <v>91</v>
      </c>
      <c r="F41" s="54">
        <v>8</v>
      </c>
      <c r="G41" s="54"/>
      <c r="H41" s="177">
        <v>36</v>
      </c>
      <c r="I41" s="56" t="e">
        <f t="shared" si="1"/>
        <v>#DIV/0!</v>
      </c>
      <c r="J41" s="154"/>
    </row>
    <row r="42" spans="1:10" s="137" customFormat="1" ht="33" customHeight="1" thickBot="1" x14ac:dyDescent="0.3">
      <c r="A42" s="147">
        <v>41</v>
      </c>
      <c r="B42" s="168" t="s">
        <v>194</v>
      </c>
      <c r="C42" s="168" t="s">
        <v>111</v>
      </c>
      <c r="D42" s="144" t="s">
        <v>21</v>
      </c>
      <c r="E42" s="144" t="s">
        <v>91</v>
      </c>
      <c r="F42" s="54">
        <v>9</v>
      </c>
      <c r="G42" s="54"/>
      <c r="H42" s="177">
        <v>27.4</v>
      </c>
      <c r="I42" s="56" t="e">
        <f t="shared" si="1"/>
        <v>#DIV/0!</v>
      </c>
      <c r="J42" s="154"/>
    </row>
    <row r="43" spans="1:10" s="137" customFormat="1" ht="33" customHeight="1" thickBot="1" x14ac:dyDescent="0.3">
      <c r="A43" s="145">
        <v>42</v>
      </c>
      <c r="B43" s="168" t="s">
        <v>195</v>
      </c>
      <c r="C43" s="168" t="s">
        <v>197</v>
      </c>
      <c r="D43" s="144" t="s">
        <v>12</v>
      </c>
      <c r="E43" s="144" t="s">
        <v>91</v>
      </c>
      <c r="F43" s="54">
        <v>9</v>
      </c>
      <c r="G43" s="54"/>
      <c r="H43" s="177">
        <v>21.3</v>
      </c>
      <c r="I43" s="56" t="e">
        <f t="shared" si="1"/>
        <v>#DIV/0!</v>
      </c>
      <c r="J43" s="154"/>
    </row>
    <row r="44" spans="1:10" s="137" customFormat="1" ht="33" customHeight="1" thickBot="1" x14ac:dyDescent="0.3">
      <c r="A44" s="145">
        <v>43</v>
      </c>
      <c r="B44" s="168" t="s">
        <v>196</v>
      </c>
      <c r="C44" s="168" t="s">
        <v>198</v>
      </c>
      <c r="D44" s="144" t="s">
        <v>112</v>
      </c>
      <c r="E44" s="144" t="s">
        <v>91</v>
      </c>
      <c r="F44" s="54">
        <v>9</v>
      </c>
      <c r="G44" s="54"/>
      <c r="H44" s="177">
        <v>17.5</v>
      </c>
      <c r="I44" s="56" t="e">
        <f t="shared" si="1"/>
        <v>#DIV/0!</v>
      </c>
      <c r="J44" s="154"/>
    </row>
    <row r="45" spans="1:10" s="137" customFormat="1" ht="33" customHeight="1" thickBot="1" x14ac:dyDescent="0.3">
      <c r="A45" s="147">
        <v>44</v>
      </c>
      <c r="B45" s="182" t="s">
        <v>199</v>
      </c>
      <c r="C45" s="182" t="s">
        <v>121</v>
      </c>
      <c r="D45" s="144" t="s">
        <v>87</v>
      </c>
      <c r="E45" s="144" t="s">
        <v>118</v>
      </c>
      <c r="F45" s="54">
        <v>10</v>
      </c>
      <c r="G45" s="54">
        <v>163</v>
      </c>
      <c r="H45" s="185">
        <v>77</v>
      </c>
      <c r="I45" s="56">
        <f t="shared" si="1"/>
        <v>0.47239263803680981</v>
      </c>
      <c r="J45" s="169" t="s">
        <v>68</v>
      </c>
    </row>
    <row r="46" spans="1:10" s="137" customFormat="1" ht="33" customHeight="1" x14ac:dyDescent="0.25">
      <c r="A46" s="145">
        <v>45</v>
      </c>
      <c r="B46" s="182" t="s">
        <v>165</v>
      </c>
      <c r="C46" s="182" t="s">
        <v>95</v>
      </c>
      <c r="D46" s="144" t="s">
        <v>21</v>
      </c>
      <c r="E46" s="144" t="s">
        <v>118</v>
      </c>
      <c r="F46" s="54">
        <v>10</v>
      </c>
      <c r="G46" s="54">
        <v>163</v>
      </c>
      <c r="H46" s="185">
        <v>56</v>
      </c>
      <c r="I46" s="56">
        <f t="shared" si="1"/>
        <v>0.34355828220858897</v>
      </c>
      <c r="J46" s="154"/>
    </row>
    <row r="47" spans="1:10" s="137" customFormat="1" ht="33" customHeight="1" x14ac:dyDescent="0.25">
      <c r="A47" s="145">
        <v>46</v>
      </c>
      <c r="B47" s="182" t="s">
        <v>200</v>
      </c>
      <c r="C47" s="182" t="s">
        <v>96</v>
      </c>
      <c r="D47" s="144" t="s">
        <v>12</v>
      </c>
      <c r="E47" s="144" t="s">
        <v>118</v>
      </c>
      <c r="F47" s="54">
        <v>10</v>
      </c>
      <c r="G47" s="54">
        <v>163</v>
      </c>
      <c r="H47" s="185">
        <v>53</v>
      </c>
      <c r="I47" s="56">
        <f t="shared" si="1"/>
        <v>0.32515337423312884</v>
      </c>
      <c r="J47" s="154"/>
    </row>
    <row r="48" spans="1:10" s="137" customFormat="1" ht="33" customHeight="1" x14ac:dyDescent="0.25">
      <c r="A48" s="147">
        <v>47</v>
      </c>
      <c r="B48" s="176" t="s">
        <v>161</v>
      </c>
      <c r="C48" s="176" t="s">
        <v>119</v>
      </c>
      <c r="D48" s="144" t="s">
        <v>21</v>
      </c>
      <c r="E48" s="144" t="s">
        <v>118</v>
      </c>
      <c r="F48" s="54">
        <v>11</v>
      </c>
      <c r="G48" s="54">
        <v>172</v>
      </c>
      <c r="H48" s="183">
        <v>102</v>
      </c>
      <c r="I48" s="56">
        <f t="shared" si="1"/>
        <v>0.59302325581395354</v>
      </c>
      <c r="J48" s="183" t="s">
        <v>16</v>
      </c>
    </row>
    <row r="49" spans="1:10" ht="37.5" x14ac:dyDescent="0.25">
      <c r="A49" s="145">
        <v>48</v>
      </c>
      <c r="B49" s="176" t="s">
        <v>201</v>
      </c>
      <c r="C49" s="176" t="s">
        <v>96</v>
      </c>
      <c r="D49" s="144" t="s">
        <v>12</v>
      </c>
      <c r="E49" s="144" t="s">
        <v>118</v>
      </c>
      <c r="F49" s="155">
        <v>11</v>
      </c>
      <c r="G49" s="54">
        <v>172</v>
      </c>
      <c r="H49" s="183">
        <v>90</v>
      </c>
      <c r="I49" s="56">
        <f t="shared" si="1"/>
        <v>0.52325581395348841</v>
      </c>
      <c r="J49" s="183" t="s">
        <v>16</v>
      </c>
    </row>
    <row r="50" spans="1:10" ht="38.25" thickBot="1" x14ac:dyDescent="0.3">
      <c r="A50" s="145">
        <v>49</v>
      </c>
      <c r="B50" s="176" t="s">
        <v>202</v>
      </c>
      <c r="C50" s="176" t="s">
        <v>96</v>
      </c>
      <c r="D50" s="144" t="s">
        <v>12</v>
      </c>
      <c r="E50" s="144" t="s">
        <v>118</v>
      </c>
      <c r="F50" s="155">
        <v>11</v>
      </c>
      <c r="G50" s="54">
        <v>172</v>
      </c>
      <c r="H50" s="183">
        <v>73</v>
      </c>
      <c r="I50" s="56">
        <f t="shared" si="1"/>
        <v>0.42441860465116277</v>
      </c>
      <c r="J50" s="169" t="s">
        <v>68</v>
      </c>
    </row>
    <row r="51" spans="1:10" ht="37.5" x14ac:dyDescent="0.25">
      <c r="A51" s="147">
        <v>50</v>
      </c>
      <c r="B51" s="176" t="s">
        <v>203</v>
      </c>
      <c r="C51" s="176" t="s">
        <v>119</v>
      </c>
      <c r="D51" s="144" t="s">
        <v>21</v>
      </c>
      <c r="E51" s="144" t="s">
        <v>118</v>
      </c>
      <c r="F51" s="155">
        <v>11</v>
      </c>
      <c r="G51" s="54">
        <v>172</v>
      </c>
      <c r="H51" s="183">
        <v>67</v>
      </c>
      <c r="I51" s="56">
        <f t="shared" si="1"/>
        <v>0.38953488372093026</v>
      </c>
      <c r="J51" s="52"/>
    </row>
    <row r="52" spans="1:10" ht="38.25" thickBot="1" x14ac:dyDescent="0.3">
      <c r="A52" s="145">
        <v>51</v>
      </c>
      <c r="B52" s="176" t="s">
        <v>204</v>
      </c>
      <c r="C52" s="176" t="s">
        <v>119</v>
      </c>
      <c r="D52" s="144" t="s">
        <v>21</v>
      </c>
      <c r="E52" s="144" t="s">
        <v>118</v>
      </c>
      <c r="F52" s="155">
        <v>11</v>
      </c>
      <c r="G52" s="54">
        <v>172</v>
      </c>
      <c r="H52" s="183">
        <v>65</v>
      </c>
      <c r="I52" s="56">
        <f t="shared" si="1"/>
        <v>0.37790697674418605</v>
      </c>
      <c r="J52" s="54"/>
    </row>
    <row r="53" spans="1:10" ht="16.5" thickBot="1" x14ac:dyDescent="0.3">
      <c r="A53" s="145">
        <v>52</v>
      </c>
      <c r="B53" s="178" t="s">
        <v>99</v>
      </c>
      <c r="C53" s="175" t="s">
        <v>205</v>
      </c>
      <c r="D53" s="144" t="s">
        <v>12</v>
      </c>
      <c r="E53" s="144" t="s">
        <v>82</v>
      </c>
      <c r="F53" s="155">
        <v>11</v>
      </c>
      <c r="G53" s="54"/>
      <c r="H53" s="186">
        <v>27</v>
      </c>
      <c r="I53" s="56">
        <v>0.15</v>
      </c>
      <c r="J53" s="154"/>
    </row>
    <row r="54" spans="1:10" ht="32.25" thickBot="1" x14ac:dyDescent="0.3">
      <c r="A54" s="147">
        <v>53</v>
      </c>
      <c r="B54" s="178" t="s">
        <v>206</v>
      </c>
      <c r="C54" s="178" t="s">
        <v>103</v>
      </c>
      <c r="D54" s="144" t="s">
        <v>21</v>
      </c>
      <c r="E54" s="144" t="s">
        <v>69</v>
      </c>
      <c r="F54" s="156">
        <v>8</v>
      </c>
      <c r="G54" s="52">
        <v>30</v>
      </c>
      <c r="H54" s="180">
        <v>7</v>
      </c>
      <c r="I54" s="56">
        <f>H54/G54</f>
        <v>0.23333333333333334</v>
      </c>
      <c r="J54" s="154"/>
    </row>
    <row r="55" spans="1:10" ht="32.25" thickBot="1" x14ac:dyDescent="0.3">
      <c r="A55" s="145">
        <v>54</v>
      </c>
      <c r="B55" s="179" t="s">
        <v>207</v>
      </c>
      <c r="C55" s="187" t="s">
        <v>210</v>
      </c>
      <c r="D55" s="144" t="s">
        <v>12</v>
      </c>
      <c r="E55" s="144" t="s">
        <v>69</v>
      </c>
      <c r="F55" s="156">
        <v>8</v>
      </c>
      <c r="G55" s="52">
        <v>30</v>
      </c>
      <c r="H55" s="181">
        <v>8</v>
      </c>
      <c r="I55" s="56">
        <f>H55/G55</f>
        <v>0.26666666666666666</v>
      </c>
      <c r="J55" s="154"/>
    </row>
    <row r="56" spans="1:10" ht="32.25" thickBot="1" x14ac:dyDescent="0.3">
      <c r="A56" s="145">
        <v>55</v>
      </c>
      <c r="B56" s="179" t="s">
        <v>208</v>
      </c>
      <c r="C56" s="187" t="s">
        <v>210</v>
      </c>
      <c r="D56" s="144" t="s">
        <v>12</v>
      </c>
      <c r="E56" s="144" t="s">
        <v>69</v>
      </c>
      <c r="F56" s="156">
        <v>8</v>
      </c>
      <c r="G56" s="52">
        <v>30</v>
      </c>
      <c r="H56" s="181">
        <v>3</v>
      </c>
      <c r="I56" s="56">
        <f>H56/G56</f>
        <v>0.1</v>
      </c>
      <c r="J56" s="154"/>
    </row>
    <row r="57" spans="1:10" ht="32.25" thickBot="1" x14ac:dyDescent="0.3">
      <c r="A57" s="147">
        <v>56</v>
      </c>
      <c r="B57" s="179" t="s">
        <v>209</v>
      </c>
      <c r="C57" s="179" t="s">
        <v>211</v>
      </c>
      <c r="D57" s="144" t="s">
        <v>87</v>
      </c>
      <c r="E57" s="144" t="s">
        <v>69</v>
      </c>
      <c r="F57" s="156">
        <v>8</v>
      </c>
      <c r="G57" s="52">
        <v>30</v>
      </c>
      <c r="H57" s="181">
        <v>2</v>
      </c>
      <c r="I57" s="56">
        <f>H57/G57</f>
        <v>6.6666666666666666E-2</v>
      </c>
      <c r="J57" s="52"/>
    </row>
    <row r="58" spans="1:10" ht="32.25" thickBot="1" x14ac:dyDescent="0.3">
      <c r="A58" s="145">
        <v>57</v>
      </c>
      <c r="B58" s="179" t="s">
        <v>212</v>
      </c>
      <c r="C58" s="179" t="s">
        <v>210</v>
      </c>
      <c r="D58" s="144" t="s">
        <v>12</v>
      </c>
      <c r="E58" s="144" t="s">
        <v>69</v>
      </c>
      <c r="F58" s="156">
        <v>9</v>
      </c>
      <c r="G58" s="52"/>
      <c r="H58" s="154">
        <v>16</v>
      </c>
      <c r="I58" s="56">
        <v>0.53</v>
      </c>
      <c r="J58" s="52" t="s">
        <v>16</v>
      </c>
    </row>
    <row r="59" spans="1:10" ht="32.25" thickBot="1" x14ac:dyDescent="0.3">
      <c r="A59" s="145">
        <v>58</v>
      </c>
      <c r="B59" s="179" t="s">
        <v>189</v>
      </c>
      <c r="C59" s="179" t="s">
        <v>103</v>
      </c>
      <c r="D59" s="144" t="s">
        <v>21</v>
      </c>
      <c r="E59" s="144" t="s">
        <v>69</v>
      </c>
      <c r="F59" s="156">
        <v>10</v>
      </c>
      <c r="G59" s="52">
        <v>30</v>
      </c>
      <c r="H59" s="180">
        <v>10</v>
      </c>
      <c r="I59" s="56">
        <f>H59/G59</f>
        <v>0.33333333333333331</v>
      </c>
      <c r="J59" s="154"/>
    </row>
    <row r="60" spans="1:10" ht="16.5" thickBot="1" x14ac:dyDescent="0.3">
      <c r="A60" s="147">
        <v>59</v>
      </c>
      <c r="B60" s="179" t="s">
        <v>125</v>
      </c>
      <c r="C60" s="179" t="s">
        <v>211</v>
      </c>
      <c r="D60" s="144" t="s">
        <v>87</v>
      </c>
      <c r="E60" s="144" t="s">
        <v>69</v>
      </c>
      <c r="F60" s="156">
        <v>10</v>
      </c>
      <c r="G60" s="52">
        <v>30</v>
      </c>
      <c r="H60" s="181">
        <v>5</v>
      </c>
      <c r="I60" s="56">
        <f>H60/G60</f>
        <v>0.16666666666666666</v>
      </c>
      <c r="J60" s="52"/>
    </row>
    <row r="61" spans="1:10" ht="32.25" thickBot="1" x14ac:dyDescent="0.3">
      <c r="A61" s="145">
        <v>60</v>
      </c>
      <c r="B61" s="179" t="s">
        <v>136</v>
      </c>
      <c r="C61" s="179" t="s">
        <v>102</v>
      </c>
      <c r="D61" s="144" t="s">
        <v>87</v>
      </c>
      <c r="E61" s="144" t="s">
        <v>69</v>
      </c>
      <c r="F61" s="156">
        <v>11</v>
      </c>
      <c r="G61" s="52"/>
      <c r="H61" s="186">
        <v>9</v>
      </c>
      <c r="I61" s="56">
        <v>0.3</v>
      </c>
      <c r="J61" s="52"/>
    </row>
    <row r="62" spans="1:10" ht="38.25" thickBot="1" x14ac:dyDescent="0.3">
      <c r="A62" s="147">
        <v>61</v>
      </c>
      <c r="B62" s="188" t="s">
        <v>213</v>
      </c>
      <c r="C62" s="188" t="s">
        <v>218</v>
      </c>
      <c r="D62" s="144" t="s">
        <v>87</v>
      </c>
      <c r="E62" s="144" t="s">
        <v>79</v>
      </c>
      <c r="F62" s="54">
        <v>9</v>
      </c>
      <c r="G62" s="54"/>
      <c r="H62" s="189">
        <v>43.8</v>
      </c>
      <c r="I62" s="56" t="e">
        <f t="shared" ref="I62:I77" si="2">H62/G62</f>
        <v>#DIV/0!</v>
      </c>
      <c r="J62" s="169" t="s">
        <v>68</v>
      </c>
    </row>
    <row r="63" spans="1:10" ht="38.25" thickBot="1" x14ac:dyDescent="0.3">
      <c r="A63" s="145">
        <v>62</v>
      </c>
      <c r="B63" s="188" t="s">
        <v>214</v>
      </c>
      <c r="C63" s="188" t="s">
        <v>219</v>
      </c>
      <c r="D63" s="144" t="s">
        <v>12</v>
      </c>
      <c r="E63" s="144" t="s">
        <v>79</v>
      </c>
      <c r="F63" s="54">
        <v>9</v>
      </c>
      <c r="G63" s="54"/>
      <c r="H63" s="189">
        <v>42.1</v>
      </c>
      <c r="I63" s="56" t="e">
        <f t="shared" si="2"/>
        <v>#DIV/0!</v>
      </c>
      <c r="J63" s="169" t="s">
        <v>68</v>
      </c>
    </row>
    <row r="64" spans="1:10" ht="38.25" thickBot="1" x14ac:dyDescent="0.3">
      <c r="A64" s="147">
        <v>63</v>
      </c>
      <c r="B64" s="188" t="s">
        <v>215</v>
      </c>
      <c r="C64" s="188" t="s">
        <v>220</v>
      </c>
      <c r="D64" s="144" t="s">
        <v>112</v>
      </c>
      <c r="E64" s="144" t="s">
        <v>79</v>
      </c>
      <c r="F64" s="54">
        <v>9</v>
      </c>
      <c r="G64" s="54"/>
      <c r="H64" s="189">
        <v>41.7</v>
      </c>
      <c r="I64" s="56" t="e">
        <f t="shared" si="2"/>
        <v>#DIV/0!</v>
      </c>
      <c r="J64" s="169" t="s">
        <v>68</v>
      </c>
    </row>
    <row r="65" spans="1:10" ht="38.25" thickBot="1" x14ac:dyDescent="0.3">
      <c r="A65" s="145">
        <v>64</v>
      </c>
      <c r="B65" s="188" t="s">
        <v>216</v>
      </c>
      <c r="C65" s="188" t="s">
        <v>106</v>
      </c>
      <c r="D65" s="144" t="s">
        <v>21</v>
      </c>
      <c r="E65" s="144" t="s">
        <v>79</v>
      </c>
      <c r="F65" s="54">
        <v>9</v>
      </c>
      <c r="G65" s="54"/>
      <c r="H65" s="189">
        <v>17</v>
      </c>
      <c r="I65" s="56" t="e">
        <f t="shared" si="2"/>
        <v>#DIV/0!</v>
      </c>
      <c r="J65" s="154"/>
    </row>
    <row r="66" spans="1:10" ht="38.25" thickBot="1" x14ac:dyDescent="0.3">
      <c r="A66" s="147">
        <v>65</v>
      </c>
      <c r="B66" s="188" t="s">
        <v>217</v>
      </c>
      <c r="C66" s="188" t="s">
        <v>106</v>
      </c>
      <c r="D66" s="144" t="s">
        <v>21</v>
      </c>
      <c r="E66" s="144" t="s">
        <v>79</v>
      </c>
      <c r="F66" s="54">
        <v>9</v>
      </c>
      <c r="G66" s="54"/>
      <c r="H66" s="189">
        <v>16.5</v>
      </c>
      <c r="I66" s="56" t="e">
        <f t="shared" si="2"/>
        <v>#DIV/0!</v>
      </c>
      <c r="J66" s="52"/>
    </row>
    <row r="67" spans="1:10" ht="37.5" x14ac:dyDescent="0.25">
      <c r="A67" s="145">
        <v>66</v>
      </c>
      <c r="B67" s="190" t="s">
        <v>221</v>
      </c>
      <c r="C67" s="191" t="s">
        <v>107</v>
      </c>
      <c r="D67" s="144" t="s">
        <v>11</v>
      </c>
      <c r="E67" s="144" t="s">
        <v>79</v>
      </c>
      <c r="F67" s="54">
        <v>10</v>
      </c>
      <c r="G67" s="54"/>
      <c r="H67" s="158">
        <v>50.75</v>
      </c>
      <c r="I67" s="56" t="e">
        <f t="shared" si="2"/>
        <v>#DIV/0!</v>
      </c>
      <c r="J67" s="52" t="s">
        <v>16</v>
      </c>
    </row>
    <row r="68" spans="1:10" ht="38.25" thickBot="1" x14ac:dyDescent="0.3">
      <c r="A68" s="147">
        <v>67</v>
      </c>
      <c r="B68" s="190" t="s">
        <v>222</v>
      </c>
      <c r="C68" s="191" t="s">
        <v>227</v>
      </c>
      <c r="D68" s="144" t="s">
        <v>12</v>
      </c>
      <c r="E68" s="144" t="s">
        <v>79</v>
      </c>
      <c r="F68" s="54">
        <v>10</v>
      </c>
      <c r="G68" s="54"/>
      <c r="H68" s="158">
        <v>42.3</v>
      </c>
      <c r="I68" s="56" t="e">
        <f t="shared" si="2"/>
        <v>#DIV/0!</v>
      </c>
      <c r="J68" s="169" t="s">
        <v>68</v>
      </c>
    </row>
    <row r="69" spans="1:10" ht="38.25" thickBot="1" x14ac:dyDescent="0.3">
      <c r="A69" s="145">
        <v>68</v>
      </c>
      <c r="B69" s="190" t="s">
        <v>223</v>
      </c>
      <c r="C69" s="191" t="s">
        <v>227</v>
      </c>
      <c r="D69" s="144" t="s">
        <v>12</v>
      </c>
      <c r="E69" s="144" t="s">
        <v>79</v>
      </c>
      <c r="F69" s="54">
        <v>10</v>
      </c>
      <c r="G69" s="54"/>
      <c r="H69" s="158">
        <v>40.700000000000003</v>
      </c>
      <c r="I69" s="56" t="e">
        <f t="shared" si="2"/>
        <v>#DIV/0!</v>
      </c>
      <c r="J69" s="169" t="s">
        <v>68</v>
      </c>
    </row>
    <row r="70" spans="1:10" ht="37.5" x14ac:dyDescent="0.25">
      <c r="A70" s="147">
        <v>69</v>
      </c>
      <c r="B70" s="190" t="s">
        <v>224</v>
      </c>
      <c r="C70" s="191" t="s">
        <v>106</v>
      </c>
      <c r="D70" s="144" t="s">
        <v>21</v>
      </c>
      <c r="E70" s="144" t="s">
        <v>79</v>
      </c>
      <c r="F70" s="54">
        <v>10</v>
      </c>
      <c r="G70" s="54"/>
      <c r="H70" s="158">
        <v>36.799999999999997</v>
      </c>
      <c r="I70" s="56" t="e">
        <f t="shared" si="2"/>
        <v>#DIV/0!</v>
      </c>
      <c r="J70" s="54"/>
    </row>
    <row r="71" spans="1:10" ht="37.5" x14ac:dyDescent="0.25">
      <c r="A71" s="145">
        <v>70</v>
      </c>
      <c r="B71" s="190" t="s">
        <v>225</v>
      </c>
      <c r="C71" s="191" t="s">
        <v>218</v>
      </c>
      <c r="D71" s="144" t="s">
        <v>87</v>
      </c>
      <c r="E71" s="144" t="s">
        <v>79</v>
      </c>
      <c r="F71" s="54">
        <v>10</v>
      </c>
      <c r="G71" s="54"/>
      <c r="H71" s="158">
        <v>36.65</v>
      </c>
      <c r="I71" s="56" t="e">
        <f t="shared" si="2"/>
        <v>#DIV/0!</v>
      </c>
      <c r="J71" s="54"/>
    </row>
    <row r="72" spans="1:10" ht="37.5" x14ac:dyDescent="0.25">
      <c r="A72" s="147">
        <v>71</v>
      </c>
      <c r="B72" s="190" t="s">
        <v>226</v>
      </c>
      <c r="C72" s="190" t="s">
        <v>106</v>
      </c>
      <c r="D72" s="144" t="s">
        <v>21</v>
      </c>
      <c r="E72" s="144" t="s">
        <v>79</v>
      </c>
      <c r="F72" s="54">
        <v>10</v>
      </c>
      <c r="G72" s="54"/>
      <c r="H72" s="158">
        <v>29</v>
      </c>
      <c r="I72" s="56" t="e">
        <f t="shared" si="2"/>
        <v>#DIV/0!</v>
      </c>
      <c r="J72" s="54"/>
    </row>
    <row r="73" spans="1:10" ht="37.5" x14ac:dyDescent="0.25">
      <c r="A73" s="147"/>
      <c r="B73" s="190" t="s">
        <v>228</v>
      </c>
      <c r="C73" s="192" t="s">
        <v>227</v>
      </c>
      <c r="D73" s="144" t="s">
        <v>12</v>
      </c>
      <c r="E73" s="144" t="s">
        <v>79</v>
      </c>
      <c r="F73" s="54">
        <v>11</v>
      </c>
      <c r="G73" s="54"/>
      <c r="H73" s="166">
        <v>58.7</v>
      </c>
      <c r="I73" s="56" t="e">
        <f t="shared" si="2"/>
        <v>#DIV/0!</v>
      </c>
      <c r="J73" s="52" t="s">
        <v>16</v>
      </c>
    </row>
    <row r="74" spans="1:10" ht="38.25" thickBot="1" x14ac:dyDescent="0.3">
      <c r="A74" s="145"/>
      <c r="B74" s="188" t="s">
        <v>120</v>
      </c>
      <c r="C74" s="176" t="s">
        <v>227</v>
      </c>
      <c r="D74" s="144" t="s">
        <v>12</v>
      </c>
      <c r="E74" s="144" t="s">
        <v>79</v>
      </c>
      <c r="F74" s="54">
        <v>11</v>
      </c>
      <c r="G74" s="54"/>
      <c r="H74" s="189">
        <v>27</v>
      </c>
      <c r="I74" s="56" t="e">
        <f t="shared" si="2"/>
        <v>#DIV/0!</v>
      </c>
      <c r="J74" s="154"/>
    </row>
    <row r="75" spans="1:10" ht="37.5" x14ac:dyDescent="0.25">
      <c r="A75" s="147"/>
      <c r="B75" s="182" t="s">
        <v>229</v>
      </c>
      <c r="C75" s="182" t="s">
        <v>98</v>
      </c>
      <c r="D75" s="144" t="s">
        <v>12</v>
      </c>
      <c r="E75" s="144" t="s">
        <v>88</v>
      </c>
      <c r="F75" s="54">
        <v>11</v>
      </c>
      <c r="G75" s="54"/>
      <c r="H75" s="52"/>
      <c r="I75" s="56" t="e">
        <f t="shared" si="2"/>
        <v>#DIV/0!</v>
      </c>
      <c r="J75" s="193" t="s">
        <v>17</v>
      </c>
    </row>
    <row r="76" spans="1:10" ht="37.5" x14ac:dyDescent="0.25">
      <c r="A76" s="145"/>
      <c r="B76" s="182" t="s">
        <v>230</v>
      </c>
      <c r="C76" s="182" t="s">
        <v>98</v>
      </c>
      <c r="D76" s="144" t="s">
        <v>12</v>
      </c>
      <c r="E76" s="144" t="s">
        <v>88</v>
      </c>
      <c r="F76" s="52">
        <v>10</v>
      </c>
      <c r="G76" s="52"/>
      <c r="H76" s="52"/>
      <c r="I76" s="56" t="e">
        <f t="shared" si="2"/>
        <v>#DIV/0!</v>
      </c>
      <c r="J76" s="193" t="s">
        <v>15</v>
      </c>
    </row>
    <row r="77" spans="1:10" ht="37.5" x14ac:dyDescent="0.25">
      <c r="A77" s="147"/>
      <c r="B77" s="182" t="s">
        <v>231</v>
      </c>
      <c r="C77" s="182" t="s">
        <v>97</v>
      </c>
      <c r="D77" s="144" t="s">
        <v>21</v>
      </c>
      <c r="E77" s="144" t="s">
        <v>88</v>
      </c>
      <c r="F77" s="52">
        <v>10</v>
      </c>
      <c r="G77" s="52"/>
      <c r="H77" s="52"/>
      <c r="I77" s="56" t="e">
        <f t="shared" si="2"/>
        <v>#DIV/0!</v>
      </c>
      <c r="J77" s="193" t="s">
        <v>68</v>
      </c>
    </row>
    <row r="78" spans="1:10" ht="37.5" x14ac:dyDescent="0.25">
      <c r="A78" s="145"/>
      <c r="B78" s="182" t="s">
        <v>232</v>
      </c>
      <c r="C78" s="182" t="s">
        <v>97</v>
      </c>
      <c r="D78" s="144" t="s">
        <v>21</v>
      </c>
      <c r="E78" s="144" t="s">
        <v>88</v>
      </c>
      <c r="F78" s="52">
        <v>9</v>
      </c>
      <c r="G78" s="52"/>
      <c r="H78" s="52"/>
      <c r="I78" s="56" t="e">
        <f t="shared" ref="I78:I90" si="3">H78/G78</f>
        <v>#DIV/0!</v>
      </c>
      <c r="J78" s="193" t="s">
        <v>68</v>
      </c>
    </row>
    <row r="79" spans="1:10" ht="37.5" x14ac:dyDescent="0.25">
      <c r="A79" s="147"/>
      <c r="B79" s="182" t="s">
        <v>233</v>
      </c>
      <c r="C79" s="182" t="s">
        <v>128</v>
      </c>
      <c r="D79" s="144" t="s">
        <v>14</v>
      </c>
      <c r="E79" s="144" t="s">
        <v>88</v>
      </c>
      <c r="F79" s="52">
        <v>9</v>
      </c>
      <c r="G79" s="52"/>
      <c r="H79" s="52"/>
      <c r="I79" s="56" t="e">
        <f t="shared" si="3"/>
        <v>#DIV/0!</v>
      </c>
      <c r="J79" s="193" t="s">
        <v>68</v>
      </c>
    </row>
    <row r="80" spans="1:10" ht="37.5" x14ac:dyDescent="0.25">
      <c r="A80" s="145"/>
      <c r="B80" s="194" t="s">
        <v>234</v>
      </c>
      <c r="C80" s="194" t="s">
        <v>98</v>
      </c>
      <c r="D80" s="144" t="s">
        <v>12</v>
      </c>
      <c r="E80" s="144" t="s">
        <v>88</v>
      </c>
      <c r="F80" s="52">
        <v>11</v>
      </c>
      <c r="G80" s="52"/>
      <c r="H80" s="52"/>
      <c r="I80" s="56" t="e">
        <f t="shared" si="3"/>
        <v>#DIV/0!</v>
      </c>
      <c r="J80" s="195" t="s">
        <v>17</v>
      </c>
    </row>
    <row r="81" spans="1:10" ht="37.5" x14ac:dyDescent="0.25">
      <c r="A81" s="147"/>
      <c r="B81" s="194" t="s">
        <v>99</v>
      </c>
      <c r="C81" s="194" t="s">
        <v>98</v>
      </c>
      <c r="D81" s="144" t="s">
        <v>12</v>
      </c>
      <c r="E81" s="144" t="s">
        <v>88</v>
      </c>
      <c r="F81" s="52">
        <v>11</v>
      </c>
      <c r="G81" s="52"/>
      <c r="H81" s="52"/>
      <c r="I81" s="56" t="e">
        <f t="shared" si="3"/>
        <v>#DIV/0!</v>
      </c>
      <c r="J81" s="195" t="s">
        <v>15</v>
      </c>
    </row>
    <row r="82" spans="1:10" ht="37.5" x14ac:dyDescent="0.25">
      <c r="A82" s="145"/>
      <c r="B82" s="194" t="s">
        <v>235</v>
      </c>
      <c r="C82" s="194" t="s">
        <v>97</v>
      </c>
      <c r="D82" s="144" t="s">
        <v>21</v>
      </c>
      <c r="E82" s="144" t="s">
        <v>88</v>
      </c>
      <c r="F82" s="52">
        <v>11</v>
      </c>
      <c r="G82" s="52"/>
      <c r="H82" s="52"/>
      <c r="I82" s="56" t="e">
        <f t="shared" si="3"/>
        <v>#DIV/0!</v>
      </c>
      <c r="J82" s="195" t="s">
        <v>15</v>
      </c>
    </row>
    <row r="83" spans="1:10" ht="37.5" x14ac:dyDescent="0.25">
      <c r="A83" s="147"/>
      <c r="B83" s="194" t="s">
        <v>236</v>
      </c>
      <c r="C83" s="194" t="s">
        <v>131</v>
      </c>
      <c r="D83" s="144" t="s">
        <v>112</v>
      </c>
      <c r="E83" s="144" t="s">
        <v>88</v>
      </c>
      <c r="F83" s="52">
        <v>9</v>
      </c>
      <c r="G83" s="52"/>
      <c r="H83" s="52"/>
      <c r="I83" s="56" t="e">
        <f t="shared" si="3"/>
        <v>#DIV/0!</v>
      </c>
      <c r="J83" s="195" t="s">
        <v>16</v>
      </c>
    </row>
    <row r="84" spans="1:10" ht="37.5" x14ac:dyDescent="0.25">
      <c r="A84" s="145"/>
      <c r="B84" s="194" t="s">
        <v>115</v>
      </c>
      <c r="C84" s="194" t="s">
        <v>100</v>
      </c>
      <c r="D84" s="144" t="s">
        <v>13</v>
      </c>
      <c r="E84" s="144" t="s">
        <v>88</v>
      </c>
      <c r="F84" s="52">
        <v>11</v>
      </c>
      <c r="G84" s="52"/>
      <c r="H84" s="52"/>
      <c r="I84" s="56" t="e">
        <f t="shared" si="3"/>
        <v>#DIV/0!</v>
      </c>
      <c r="J84" s="195" t="s">
        <v>16</v>
      </c>
    </row>
    <row r="85" spans="1:10" ht="37.5" x14ac:dyDescent="0.25">
      <c r="A85" s="147"/>
      <c r="B85" s="194" t="s">
        <v>237</v>
      </c>
      <c r="C85" s="194" t="s">
        <v>100</v>
      </c>
      <c r="D85" s="144" t="s">
        <v>13</v>
      </c>
      <c r="E85" s="144" t="s">
        <v>88</v>
      </c>
      <c r="F85" s="52">
        <v>11</v>
      </c>
      <c r="G85" s="52"/>
      <c r="H85" s="52"/>
      <c r="I85" s="56" t="e">
        <f t="shared" si="3"/>
        <v>#DIV/0!</v>
      </c>
      <c r="J85" s="195" t="s">
        <v>68</v>
      </c>
    </row>
    <row r="86" spans="1:10" ht="37.5" x14ac:dyDescent="0.25">
      <c r="A86" s="145"/>
      <c r="B86" s="194" t="s">
        <v>238</v>
      </c>
      <c r="C86" s="194" t="s">
        <v>130</v>
      </c>
      <c r="D86" s="144" t="s">
        <v>21</v>
      </c>
      <c r="E86" s="144" t="s">
        <v>88</v>
      </c>
      <c r="F86" s="52">
        <v>11</v>
      </c>
      <c r="G86" s="52"/>
      <c r="H86" s="52"/>
      <c r="I86" s="56" t="e">
        <f t="shared" si="3"/>
        <v>#DIV/0!</v>
      </c>
      <c r="J86" s="195" t="s">
        <v>68</v>
      </c>
    </row>
    <row r="87" spans="1:10" ht="37.5" x14ac:dyDescent="0.25">
      <c r="A87" s="147"/>
      <c r="B87" s="194" t="s">
        <v>239</v>
      </c>
      <c r="C87" s="194" t="s">
        <v>129</v>
      </c>
      <c r="D87" s="144" t="s">
        <v>87</v>
      </c>
      <c r="E87" s="144" t="s">
        <v>88</v>
      </c>
      <c r="F87" s="52">
        <v>9</v>
      </c>
      <c r="G87" s="52"/>
      <c r="H87" s="52"/>
      <c r="I87" s="56" t="e">
        <f t="shared" si="3"/>
        <v>#DIV/0!</v>
      </c>
      <c r="J87" s="195" t="s">
        <v>68</v>
      </c>
    </row>
    <row r="88" spans="1:10" ht="37.5" x14ac:dyDescent="0.25">
      <c r="A88" s="145"/>
      <c r="B88" s="194" t="s">
        <v>125</v>
      </c>
      <c r="C88" s="194" t="s">
        <v>129</v>
      </c>
      <c r="D88" s="144" t="s">
        <v>87</v>
      </c>
      <c r="E88" s="144" t="s">
        <v>88</v>
      </c>
      <c r="F88" s="52">
        <v>10</v>
      </c>
      <c r="G88" s="52"/>
      <c r="H88" s="52"/>
      <c r="I88" s="56" t="e">
        <f t="shared" si="3"/>
        <v>#DIV/0!</v>
      </c>
      <c r="J88" s="195" t="s">
        <v>68</v>
      </c>
    </row>
    <row r="89" spans="1:10" ht="37.5" x14ac:dyDescent="0.25">
      <c r="A89" s="147"/>
      <c r="B89" s="194" t="s">
        <v>240</v>
      </c>
      <c r="C89" s="194" t="s">
        <v>242</v>
      </c>
      <c r="D89" s="144" t="s">
        <v>87</v>
      </c>
      <c r="E89" s="144" t="s">
        <v>88</v>
      </c>
      <c r="F89" s="52">
        <v>11</v>
      </c>
      <c r="G89" s="52"/>
      <c r="H89" s="52"/>
      <c r="I89" s="56" t="e">
        <f t="shared" si="3"/>
        <v>#DIV/0!</v>
      </c>
      <c r="J89" s="195" t="s">
        <v>68</v>
      </c>
    </row>
    <row r="90" spans="1:10" ht="38.25" thickBot="1" x14ac:dyDescent="0.3">
      <c r="A90" s="145"/>
      <c r="B90" s="194" t="s">
        <v>241</v>
      </c>
      <c r="C90" s="194" t="s">
        <v>243</v>
      </c>
      <c r="D90" s="144" t="s">
        <v>11</v>
      </c>
      <c r="E90" s="144" t="s">
        <v>88</v>
      </c>
      <c r="F90" s="52">
        <v>9</v>
      </c>
      <c r="G90" s="52"/>
      <c r="H90" s="52"/>
      <c r="I90" s="56" t="e">
        <f t="shared" si="3"/>
        <v>#DIV/0!</v>
      </c>
      <c r="J90" s="195" t="s">
        <v>68</v>
      </c>
    </row>
    <row r="91" spans="1:10" ht="32.25" thickBot="1" x14ac:dyDescent="0.3">
      <c r="A91" s="147"/>
      <c r="B91" s="196" t="s">
        <v>244</v>
      </c>
      <c r="C91" s="199" t="s">
        <v>248</v>
      </c>
      <c r="D91" s="144" t="s">
        <v>12</v>
      </c>
      <c r="E91" s="149" t="s">
        <v>83</v>
      </c>
      <c r="F91" s="52">
        <v>10</v>
      </c>
      <c r="G91" s="52"/>
      <c r="H91" s="200">
        <v>85</v>
      </c>
      <c r="I91" s="56"/>
      <c r="J91" s="193" t="s">
        <v>17</v>
      </c>
    </row>
    <row r="92" spans="1:10" ht="32.25" thickBot="1" x14ac:dyDescent="0.3">
      <c r="A92" s="145"/>
      <c r="B92" s="197" t="s">
        <v>245</v>
      </c>
      <c r="C92" s="199" t="s">
        <v>113</v>
      </c>
      <c r="D92" s="144" t="s">
        <v>21</v>
      </c>
      <c r="E92" s="149" t="s">
        <v>83</v>
      </c>
      <c r="F92" s="52">
        <v>9</v>
      </c>
      <c r="G92" s="52"/>
      <c r="H92" s="189">
        <v>64</v>
      </c>
      <c r="I92" s="56"/>
      <c r="J92" s="164" t="s">
        <v>16</v>
      </c>
    </row>
    <row r="93" spans="1:10" ht="32.25" thickBot="1" x14ac:dyDescent="0.3">
      <c r="A93" s="147"/>
      <c r="B93" s="197" t="s">
        <v>123</v>
      </c>
      <c r="C93" s="199" t="s">
        <v>141</v>
      </c>
      <c r="D93" s="144" t="s">
        <v>21</v>
      </c>
      <c r="E93" s="149" t="s">
        <v>83</v>
      </c>
      <c r="F93" s="52">
        <v>9</v>
      </c>
      <c r="G93" s="52"/>
      <c r="H93" s="189">
        <v>34</v>
      </c>
      <c r="I93" s="56"/>
      <c r="J93" s="154"/>
    </row>
    <row r="94" spans="1:10" ht="32.25" thickBot="1" x14ac:dyDescent="0.3">
      <c r="A94" s="145"/>
      <c r="B94" s="198" t="s">
        <v>246</v>
      </c>
      <c r="C94" s="199" t="s">
        <v>114</v>
      </c>
      <c r="D94" s="144" t="s">
        <v>87</v>
      </c>
      <c r="E94" s="144" t="s">
        <v>83</v>
      </c>
      <c r="F94" s="52">
        <v>10</v>
      </c>
      <c r="G94" s="52"/>
      <c r="H94" s="189">
        <v>49</v>
      </c>
      <c r="I94" s="56"/>
      <c r="J94" s="195" t="s">
        <v>68</v>
      </c>
    </row>
    <row r="95" spans="1:10" ht="32.25" thickBot="1" x14ac:dyDescent="0.3">
      <c r="A95" s="147"/>
      <c r="B95" s="198" t="s">
        <v>247</v>
      </c>
      <c r="C95" s="199" t="s">
        <v>114</v>
      </c>
      <c r="D95" s="144" t="s">
        <v>87</v>
      </c>
      <c r="E95" s="144" t="s">
        <v>83</v>
      </c>
      <c r="F95" s="52">
        <v>10</v>
      </c>
      <c r="G95" s="52"/>
      <c r="H95" s="189">
        <v>47.5</v>
      </c>
      <c r="I95" s="56"/>
      <c r="J95" s="195" t="s">
        <v>68</v>
      </c>
    </row>
    <row r="96" spans="1:10" ht="32.25" thickBot="1" x14ac:dyDescent="0.3">
      <c r="A96" s="145"/>
      <c r="B96" s="198" t="s">
        <v>249</v>
      </c>
      <c r="C96" s="198" t="s">
        <v>114</v>
      </c>
      <c r="D96" s="144" t="s">
        <v>87</v>
      </c>
      <c r="E96" s="144" t="s">
        <v>83</v>
      </c>
      <c r="F96" s="150">
        <v>11</v>
      </c>
      <c r="G96" s="52"/>
      <c r="H96" s="201">
        <v>41</v>
      </c>
      <c r="I96" s="56"/>
      <c r="J96" s="195" t="s">
        <v>68</v>
      </c>
    </row>
    <row r="97" spans="1:10" ht="28.5" customHeight="1" thickBot="1" x14ac:dyDescent="0.3">
      <c r="A97" s="147"/>
      <c r="B97" s="198" t="s">
        <v>250</v>
      </c>
      <c r="C97" s="198" t="s">
        <v>114</v>
      </c>
      <c r="D97" s="144" t="s">
        <v>87</v>
      </c>
      <c r="E97" s="144" t="s">
        <v>83</v>
      </c>
      <c r="F97" s="150">
        <v>11</v>
      </c>
      <c r="G97" s="52"/>
      <c r="H97" s="202">
        <v>17</v>
      </c>
      <c r="I97" s="56"/>
      <c r="J97" s="154"/>
    </row>
    <row r="98" spans="1:10" ht="32.25" thickBot="1" x14ac:dyDescent="0.3">
      <c r="A98" s="145"/>
      <c r="B98" s="198" t="s">
        <v>139</v>
      </c>
      <c r="C98" s="198" t="s">
        <v>248</v>
      </c>
      <c r="D98" s="144" t="s">
        <v>12</v>
      </c>
      <c r="E98" s="144" t="s">
        <v>83</v>
      </c>
      <c r="F98" s="150">
        <v>11</v>
      </c>
      <c r="G98" s="52"/>
      <c r="H98" s="202">
        <v>40</v>
      </c>
      <c r="I98" s="56"/>
      <c r="J98" s="195" t="s">
        <v>68</v>
      </c>
    </row>
    <row r="99" spans="1:10" ht="19.5" thickBot="1" x14ac:dyDescent="0.3">
      <c r="A99" s="147"/>
      <c r="B99" s="203" t="s">
        <v>251</v>
      </c>
      <c r="C99" s="177" t="s">
        <v>255</v>
      </c>
      <c r="D99" s="144" t="s">
        <v>87</v>
      </c>
      <c r="E99" s="144" t="s">
        <v>77</v>
      </c>
      <c r="F99" s="150">
        <v>9</v>
      </c>
      <c r="G99" s="52"/>
      <c r="H99" s="204" t="s">
        <v>258</v>
      </c>
      <c r="I99" s="56">
        <v>0.71</v>
      </c>
      <c r="J99" s="204" t="s">
        <v>17</v>
      </c>
    </row>
    <row r="100" spans="1:10" ht="19.5" thickBot="1" x14ac:dyDescent="0.3">
      <c r="A100" s="145"/>
      <c r="B100" s="203" t="s">
        <v>252</v>
      </c>
      <c r="C100" s="177" t="s">
        <v>256</v>
      </c>
      <c r="D100" s="144" t="s">
        <v>14</v>
      </c>
      <c r="E100" s="144" t="s">
        <v>77</v>
      </c>
      <c r="F100" s="150">
        <v>9</v>
      </c>
      <c r="G100" s="52"/>
      <c r="H100" s="204" t="s">
        <v>259</v>
      </c>
      <c r="I100" s="56">
        <v>0.39</v>
      </c>
      <c r="J100" s="195" t="s">
        <v>68</v>
      </c>
    </row>
    <row r="101" spans="1:10" ht="19.5" thickBot="1" x14ac:dyDescent="0.3">
      <c r="A101" s="147"/>
      <c r="B101" s="203" t="s">
        <v>253</v>
      </c>
      <c r="C101" s="177" t="s">
        <v>257</v>
      </c>
      <c r="D101" s="144" t="s">
        <v>13</v>
      </c>
      <c r="E101" s="144" t="s">
        <v>77</v>
      </c>
      <c r="F101" s="150">
        <v>9</v>
      </c>
      <c r="G101" s="52"/>
      <c r="H101" s="205">
        <v>33</v>
      </c>
      <c r="I101" s="56">
        <v>0.37</v>
      </c>
      <c r="J101" s="52"/>
    </row>
    <row r="102" spans="1:10" ht="32.25" thickBot="1" x14ac:dyDescent="0.3">
      <c r="A102" s="145"/>
      <c r="B102" s="203" t="s">
        <v>254</v>
      </c>
      <c r="C102" s="177" t="s">
        <v>257</v>
      </c>
      <c r="D102" s="144" t="s">
        <v>13</v>
      </c>
      <c r="E102" s="144" t="s">
        <v>77</v>
      </c>
      <c r="F102" s="52">
        <v>9</v>
      </c>
      <c r="G102" s="52"/>
      <c r="H102" s="205">
        <v>32</v>
      </c>
      <c r="I102" s="56">
        <v>0.36</v>
      </c>
      <c r="J102" s="52"/>
    </row>
    <row r="103" spans="1:10" ht="32.25" thickBot="1" x14ac:dyDescent="0.3">
      <c r="A103" s="147"/>
      <c r="B103" s="203" t="s">
        <v>260</v>
      </c>
      <c r="C103" s="206" t="s">
        <v>262</v>
      </c>
      <c r="D103" s="144" t="s">
        <v>12</v>
      </c>
      <c r="E103" s="144" t="s">
        <v>77</v>
      </c>
      <c r="F103" s="52">
        <v>10</v>
      </c>
      <c r="G103" s="52"/>
      <c r="H103" s="207" t="s">
        <v>264</v>
      </c>
      <c r="I103" s="56">
        <v>0.63</v>
      </c>
      <c r="J103" s="177" t="s">
        <v>15</v>
      </c>
    </row>
    <row r="104" spans="1:10" ht="32.25" thickBot="1" x14ac:dyDescent="0.3">
      <c r="A104" s="145"/>
      <c r="B104" s="82" t="s">
        <v>261</v>
      </c>
      <c r="C104" s="177" t="s">
        <v>263</v>
      </c>
      <c r="D104" s="144" t="s">
        <v>21</v>
      </c>
      <c r="E104" s="144" t="s">
        <v>77</v>
      </c>
      <c r="F104" s="52">
        <v>10</v>
      </c>
      <c r="G104" s="52"/>
      <c r="H104" s="204">
        <v>35</v>
      </c>
      <c r="I104" s="56">
        <v>0.39</v>
      </c>
      <c r="J104" s="195" t="s">
        <v>68</v>
      </c>
    </row>
    <row r="105" spans="1:10" ht="32.25" thickBot="1" x14ac:dyDescent="0.3">
      <c r="A105" s="147"/>
      <c r="B105" s="203" t="s">
        <v>265</v>
      </c>
      <c r="C105" s="206" t="s">
        <v>262</v>
      </c>
      <c r="D105" s="144" t="s">
        <v>12</v>
      </c>
      <c r="E105" s="144" t="s">
        <v>77</v>
      </c>
      <c r="F105" s="52">
        <v>11</v>
      </c>
      <c r="G105" s="52"/>
      <c r="H105" s="207">
        <v>57</v>
      </c>
      <c r="I105" s="56">
        <v>0.63</v>
      </c>
      <c r="J105" s="177" t="s">
        <v>15</v>
      </c>
    </row>
    <row r="106" spans="1:10" ht="32.25" thickBot="1" x14ac:dyDescent="0.3">
      <c r="A106" s="145"/>
      <c r="B106" s="203" t="s">
        <v>266</v>
      </c>
      <c r="C106" s="206" t="s">
        <v>262</v>
      </c>
      <c r="D106" s="144" t="s">
        <v>12</v>
      </c>
      <c r="E106" s="144" t="s">
        <v>77</v>
      </c>
      <c r="F106" s="154">
        <v>11</v>
      </c>
      <c r="G106" s="52"/>
      <c r="H106" s="204">
        <v>46</v>
      </c>
      <c r="I106" s="56">
        <v>0.51</v>
      </c>
      <c r="J106" s="177" t="s">
        <v>16</v>
      </c>
    </row>
    <row r="107" spans="1:10" ht="31.5" customHeight="1" thickBot="1" x14ac:dyDescent="0.3">
      <c r="A107" s="147"/>
      <c r="B107" s="203" t="s">
        <v>267</v>
      </c>
      <c r="C107" s="177" t="s">
        <v>263</v>
      </c>
      <c r="D107" s="144" t="s">
        <v>21</v>
      </c>
      <c r="E107" s="144" t="s">
        <v>77</v>
      </c>
      <c r="F107" s="154">
        <v>11</v>
      </c>
      <c r="G107" s="82"/>
      <c r="H107" s="204">
        <v>20</v>
      </c>
      <c r="I107" s="55">
        <v>0.22</v>
      </c>
      <c r="J107" s="154"/>
    </row>
    <row r="108" spans="1:10" ht="31.5" customHeight="1" thickBot="1" x14ac:dyDescent="0.3">
      <c r="A108" s="145"/>
      <c r="B108" s="203" t="s">
        <v>138</v>
      </c>
      <c r="C108" s="177" t="s">
        <v>257</v>
      </c>
      <c r="D108" s="144" t="s">
        <v>13</v>
      </c>
      <c r="E108" s="144" t="s">
        <v>77</v>
      </c>
      <c r="F108" s="154">
        <v>11</v>
      </c>
      <c r="G108" s="82"/>
      <c r="H108" s="208" t="s">
        <v>272</v>
      </c>
      <c r="I108" s="55">
        <v>0.21</v>
      </c>
      <c r="J108" s="162"/>
    </row>
    <row r="109" spans="1:10" ht="31.5" customHeight="1" thickBot="1" x14ac:dyDescent="0.3">
      <c r="A109" s="147"/>
      <c r="B109" s="170" t="s">
        <v>268</v>
      </c>
      <c r="C109" s="170" t="s">
        <v>271</v>
      </c>
      <c r="D109" s="144" t="s">
        <v>12</v>
      </c>
      <c r="E109" s="144" t="s">
        <v>70</v>
      </c>
      <c r="F109" s="154">
        <v>9</v>
      </c>
      <c r="G109" s="82"/>
      <c r="H109" s="172">
        <v>21.4</v>
      </c>
      <c r="I109" s="209">
        <v>0.24</v>
      </c>
      <c r="J109" s="162"/>
    </row>
    <row r="110" spans="1:10" ht="31.5" customHeight="1" thickBot="1" x14ac:dyDescent="0.3">
      <c r="A110" s="145"/>
      <c r="B110" s="171" t="s">
        <v>153</v>
      </c>
      <c r="C110" s="171" t="s">
        <v>93</v>
      </c>
      <c r="D110" s="144" t="s">
        <v>21</v>
      </c>
      <c r="E110" s="144" t="s">
        <v>70</v>
      </c>
      <c r="F110" s="154">
        <v>9</v>
      </c>
      <c r="G110" s="82"/>
      <c r="H110" s="173">
        <v>31.8</v>
      </c>
      <c r="I110" s="210">
        <v>0.36</v>
      </c>
      <c r="J110" s="162"/>
    </row>
    <row r="111" spans="1:10" ht="31.5" customHeight="1" thickBot="1" x14ac:dyDescent="0.3">
      <c r="A111" s="147"/>
      <c r="B111" s="171" t="s">
        <v>154</v>
      </c>
      <c r="C111" s="171" t="s">
        <v>93</v>
      </c>
      <c r="D111" s="144" t="s">
        <v>21</v>
      </c>
      <c r="E111" s="144" t="s">
        <v>70</v>
      </c>
      <c r="F111" s="154">
        <v>9</v>
      </c>
      <c r="G111" s="82"/>
      <c r="H111" s="173">
        <v>32.799999999999997</v>
      </c>
      <c r="I111" s="210">
        <v>0.37</v>
      </c>
      <c r="J111" s="162"/>
    </row>
    <row r="112" spans="1:10" ht="31.5" customHeight="1" thickBot="1" x14ac:dyDescent="0.3">
      <c r="A112" s="145"/>
      <c r="B112" s="171" t="s">
        <v>269</v>
      </c>
      <c r="C112" s="171" t="s">
        <v>94</v>
      </c>
      <c r="D112" s="144" t="s">
        <v>13</v>
      </c>
      <c r="E112" s="144" t="s">
        <v>70</v>
      </c>
      <c r="F112" s="154">
        <v>9</v>
      </c>
      <c r="G112" s="82"/>
      <c r="H112" s="173">
        <v>30.95</v>
      </c>
      <c r="I112" s="210">
        <v>0.35</v>
      </c>
      <c r="J112" s="162"/>
    </row>
    <row r="113" spans="1:10" ht="31.5" customHeight="1" thickBot="1" x14ac:dyDescent="0.3">
      <c r="A113" s="147"/>
      <c r="B113" s="171" t="s">
        <v>270</v>
      </c>
      <c r="C113" s="171" t="s">
        <v>94</v>
      </c>
      <c r="D113" s="144" t="s">
        <v>13</v>
      </c>
      <c r="E113" s="144" t="s">
        <v>70</v>
      </c>
      <c r="F113" s="154">
        <v>9</v>
      </c>
      <c r="G113" s="82"/>
      <c r="H113" s="173">
        <v>11.55</v>
      </c>
      <c r="I113" s="210">
        <v>0.33</v>
      </c>
      <c r="J113" s="154"/>
    </row>
    <row r="114" spans="1:10" ht="31.5" customHeight="1" thickBot="1" x14ac:dyDescent="0.3">
      <c r="A114" s="145"/>
      <c r="B114" s="170" t="s">
        <v>122</v>
      </c>
      <c r="C114" s="170" t="s">
        <v>92</v>
      </c>
      <c r="D114" s="144" t="s">
        <v>12</v>
      </c>
      <c r="E114" s="144" t="s">
        <v>70</v>
      </c>
      <c r="F114" s="154">
        <v>10</v>
      </c>
      <c r="G114" s="82"/>
      <c r="H114" s="172">
        <v>51.4</v>
      </c>
      <c r="I114" s="209">
        <v>0.57999999999999996</v>
      </c>
      <c r="J114" s="211" t="s">
        <v>16</v>
      </c>
    </row>
    <row r="115" spans="1:10" ht="31.5" customHeight="1" thickBot="1" x14ac:dyDescent="0.3">
      <c r="A115" s="147"/>
      <c r="B115" s="171" t="s">
        <v>273</v>
      </c>
      <c r="C115" s="171" t="s">
        <v>92</v>
      </c>
      <c r="D115" s="144" t="s">
        <v>12</v>
      </c>
      <c r="E115" s="144" t="s">
        <v>70</v>
      </c>
      <c r="F115" s="154">
        <v>10</v>
      </c>
      <c r="G115" s="82"/>
      <c r="H115" s="173">
        <v>30.9</v>
      </c>
      <c r="I115" s="210">
        <v>0.35</v>
      </c>
      <c r="J115" s="157"/>
    </row>
    <row r="116" spans="1:10" ht="31.5" customHeight="1" thickBot="1" x14ac:dyDescent="0.3">
      <c r="A116" s="145"/>
      <c r="B116" s="171" t="s">
        <v>274</v>
      </c>
      <c r="C116" s="171" t="s">
        <v>93</v>
      </c>
      <c r="D116" s="144" t="s">
        <v>21</v>
      </c>
      <c r="E116" s="144" t="s">
        <v>70</v>
      </c>
      <c r="F116" s="154">
        <v>10</v>
      </c>
      <c r="G116" s="82"/>
      <c r="H116" s="173">
        <v>35.5</v>
      </c>
      <c r="I116" s="210">
        <v>0.4</v>
      </c>
      <c r="J116" s="204" t="s">
        <v>68</v>
      </c>
    </row>
    <row r="117" spans="1:10" ht="31.5" customHeight="1" thickBot="1" x14ac:dyDescent="0.3">
      <c r="A117" s="147"/>
      <c r="B117" s="171" t="s">
        <v>275</v>
      </c>
      <c r="C117" s="171" t="s">
        <v>93</v>
      </c>
      <c r="D117" s="144" t="s">
        <v>21</v>
      </c>
      <c r="E117" s="144" t="s">
        <v>70</v>
      </c>
      <c r="F117" s="154">
        <v>10</v>
      </c>
      <c r="G117" s="82"/>
      <c r="H117" s="173">
        <v>16.850000000000001</v>
      </c>
      <c r="I117" s="210">
        <v>0.19</v>
      </c>
      <c r="J117" s="157"/>
    </row>
    <row r="118" spans="1:10" ht="31.5" customHeight="1" thickBot="1" x14ac:dyDescent="0.3">
      <c r="A118" s="145"/>
      <c r="B118" s="171" t="s">
        <v>276</v>
      </c>
      <c r="C118" s="171" t="s">
        <v>277</v>
      </c>
      <c r="D118" s="144" t="s">
        <v>87</v>
      </c>
      <c r="E118" s="144" t="s">
        <v>70</v>
      </c>
      <c r="F118" s="154">
        <v>10</v>
      </c>
      <c r="G118" s="82"/>
      <c r="H118" s="173">
        <v>41.4</v>
      </c>
      <c r="I118" s="210">
        <v>0.47</v>
      </c>
      <c r="J118" s="204" t="s">
        <v>68</v>
      </c>
    </row>
    <row r="119" spans="1:10" ht="31.5" customHeight="1" thickBot="1" x14ac:dyDescent="0.3">
      <c r="A119" s="147"/>
      <c r="B119" s="170" t="s">
        <v>278</v>
      </c>
      <c r="C119" s="170" t="s">
        <v>92</v>
      </c>
      <c r="D119" s="144" t="s">
        <v>12</v>
      </c>
      <c r="E119" s="144" t="s">
        <v>70</v>
      </c>
      <c r="F119" s="154">
        <v>11</v>
      </c>
      <c r="G119" s="82"/>
      <c r="H119" s="172">
        <v>40.65</v>
      </c>
      <c r="I119" s="209">
        <v>0.46</v>
      </c>
      <c r="J119" s="172" t="s">
        <v>68</v>
      </c>
    </row>
    <row r="120" spans="1:10" ht="31.5" customHeight="1" thickBot="1" x14ac:dyDescent="0.3">
      <c r="A120" s="145"/>
      <c r="B120" s="171" t="s">
        <v>279</v>
      </c>
      <c r="C120" s="171" t="s">
        <v>92</v>
      </c>
      <c r="D120" s="144" t="s">
        <v>12</v>
      </c>
      <c r="E120" s="144" t="s">
        <v>70</v>
      </c>
      <c r="F120" s="154">
        <v>11</v>
      </c>
      <c r="G120" s="52"/>
      <c r="H120" s="173">
        <v>30.25</v>
      </c>
      <c r="I120" s="210">
        <v>0.34</v>
      </c>
      <c r="J120" s="173"/>
    </row>
    <row r="121" spans="1:10" ht="31.5" customHeight="1" thickBot="1" x14ac:dyDescent="0.3">
      <c r="A121" s="147"/>
      <c r="B121" s="171" t="s">
        <v>135</v>
      </c>
      <c r="C121" s="171" t="s">
        <v>92</v>
      </c>
      <c r="D121" s="144" t="s">
        <v>12</v>
      </c>
      <c r="E121" s="144" t="s">
        <v>70</v>
      </c>
      <c r="F121" s="154">
        <v>11</v>
      </c>
      <c r="G121" s="52"/>
      <c r="H121" s="173">
        <v>41.25</v>
      </c>
      <c r="I121" s="210">
        <v>0.46</v>
      </c>
      <c r="J121" s="173" t="s">
        <v>68</v>
      </c>
    </row>
    <row r="122" spans="1:10" ht="31.5" customHeight="1" thickBot="1" x14ac:dyDescent="0.3">
      <c r="A122" s="145"/>
      <c r="B122" s="171" t="s">
        <v>116</v>
      </c>
      <c r="C122" s="171" t="s">
        <v>92</v>
      </c>
      <c r="D122" s="144" t="s">
        <v>12</v>
      </c>
      <c r="E122" s="144" t="s">
        <v>70</v>
      </c>
      <c r="F122" s="154">
        <v>11</v>
      </c>
      <c r="G122" s="52"/>
      <c r="H122" s="173">
        <v>36.700000000000003</v>
      </c>
      <c r="I122" s="210">
        <v>0.41</v>
      </c>
      <c r="J122" s="173" t="s">
        <v>68</v>
      </c>
    </row>
    <row r="123" spans="1:10" ht="31.5" customHeight="1" thickBot="1" x14ac:dyDescent="0.3">
      <c r="A123" s="147"/>
      <c r="B123" s="171" t="s">
        <v>117</v>
      </c>
      <c r="C123" s="171" t="s">
        <v>277</v>
      </c>
      <c r="D123" s="144" t="s">
        <v>87</v>
      </c>
      <c r="E123" s="144" t="s">
        <v>70</v>
      </c>
      <c r="F123" s="154">
        <v>11</v>
      </c>
      <c r="G123" s="52"/>
      <c r="H123" s="173">
        <v>36.4</v>
      </c>
      <c r="I123" s="210">
        <v>0.41</v>
      </c>
      <c r="J123" s="173" t="s">
        <v>68</v>
      </c>
    </row>
    <row r="124" spans="1:10" ht="31.5" customHeight="1" thickBot="1" x14ac:dyDescent="0.3">
      <c r="A124" s="145"/>
      <c r="B124" s="171" t="s">
        <v>140</v>
      </c>
      <c r="C124" s="171" t="s">
        <v>94</v>
      </c>
      <c r="D124" s="144" t="s">
        <v>13</v>
      </c>
      <c r="E124" s="144" t="s">
        <v>70</v>
      </c>
      <c r="F124" s="154">
        <v>11</v>
      </c>
      <c r="G124" s="52"/>
      <c r="H124" s="173">
        <v>37.15</v>
      </c>
      <c r="I124" s="210">
        <v>0.42</v>
      </c>
      <c r="J124" s="173" t="s">
        <v>68</v>
      </c>
    </row>
    <row r="125" spans="1:10" ht="31.5" customHeight="1" x14ac:dyDescent="0.25">
      <c r="A125" s="147"/>
      <c r="B125" s="57"/>
      <c r="C125" s="51"/>
      <c r="D125" s="144"/>
      <c r="E125" s="151"/>
      <c r="F125" s="154"/>
      <c r="G125" s="52"/>
      <c r="H125" s="52"/>
      <c r="I125" s="56"/>
      <c r="J125" s="52"/>
    </row>
    <row r="126" spans="1:10" x14ac:dyDescent="0.25">
      <c r="A126" s="145"/>
      <c r="B126" s="7"/>
      <c r="C126" s="51"/>
      <c r="D126" s="144"/>
      <c r="E126" s="151"/>
      <c r="F126" s="154"/>
      <c r="G126" s="52"/>
      <c r="H126" s="3"/>
      <c r="I126" s="56"/>
      <c r="J126" s="59"/>
    </row>
    <row r="127" spans="1:10" x14ac:dyDescent="0.25">
      <c r="A127" s="147"/>
      <c r="B127" s="7"/>
      <c r="C127" s="7"/>
      <c r="D127" s="144"/>
      <c r="E127" s="151"/>
      <c r="F127" s="154"/>
      <c r="G127" s="52"/>
      <c r="H127" s="3"/>
      <c r="I127" s="56"/>
      <c r="J127" s="154"/>
    </row>
    <row r="128" spans="1:10" x14ac:dyDescent="0.25">
      <c r="A128" s="145"/>
      <c r="B128" s="7"/>
      <c r="C128" s="144"/>
      <c r="D128" s="144"/>
      <c r="E128" s="151"/>
      <c r="F128" s="3"/>
      <c r="G128" s="52"/>
      <c r="H128" s="3"/>
      <c r="I128" s="56"/>
      <c r="J128" s="59"/>
    </row>
    <row r="129" spans="1:10" x14ac:dyDescent="0.25">
      <c r="A129" s="147"/>
      <c r="B129" s="144"/>
      <c r="C129" s="144"/>
      <c r="D129" s="144"/>
      <c r="E129" s="151"/>
      <c r="F129" s="3"/>
      <c r="G129" s="52"/>
      <c r="H129" s="3"/>
      <c r="I129" s="56"/>
      <c r="J129" s="154"/>
    </row>
    <row r="130" spans="1:10" x14ac:dyDescent="0.25">
      <c r="A130" s="145"/>
      <c r="B130" s="144"/>
      <c r="C130" s="144"/>
      <c r="D130" s="144"/>
      <c r="E130" s="151"/>
      <c r="F130" s="3"/>
      <c r="G130" s="52"/>
      <c r="H130" s="3"/>
      <c r="I130" s="56"/>
      <c r="J130" s="59"/>
    </row>
    <row r="131" spans="1:10" x14ac:dyDescent="0.25">
      <c r="A131" s="147"/>
      <c r="B131" s="7"/>
      <c r="C131" s="7"/>
      <c r="D131" s="144"/>
      <c r="E131" s="151"/>
      <c r="F131" s="3"/>
      <c r="G131" s="52"/>
      <c r="H131" s="3"/>
      <c r="I131" s="56"/>
      <c r="J131" s="157"/>
    </row>
    <row r="132" spans="1:10" x14ac:dyDescent="0.25">
      <c r="A132" s="148"/>
    </row>
    <row r="133" spans="1:10" x14ac:dyDescent="0.25">
      <c r="C133" s="138">
        <f>11+17+5+8+24+5+8+8+17+8+13+2</f>
        <v>126</v>
      </c>
    </row>
  </sheetData>
  <sortState xmlns:xlrd2="http://schemas.microsoft.com/office/spreadsheetml/2017/richdata2" ref="A2:K153">
    <sortCondition ref="E2:E153"/>
    <sortCondition ref="F2:F153"/>
  </sortState>
  <pageMargins left="0.35433070866141736" right="0.23622047244094491" top="0.74803149606299213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workbookViewId="0">
      <selection activeCell="C4" sqref="C4"/>
    </sheetView>
  </sheetViews>
  <sheetFormatPr defaultRowHeight="15" x14ac:dyDescent="0.25"/>
  <cols>
    <col min="1" max="1" width="5.42578125" style="36" customWidth="1"/>
    <col min="2" max="2" width="34.140625" style="36" customWidth="1"/>
    <col min="3" max="3" width="7" style="36" customWidth="1"/>
    <col min="4" max="4" width="5.5703125" style="36" customWidth="1"/>
    <col min="5" max="5" width="8.85546875" style="36" customWidth="1"/>
    <col min="6" max="6" width="10.5703125" style="36" customWidth="1"/>
    <col min="7" max="8" width="14.140625" style="36" customWidth="1"/>
    <col min="9" max="9" width="14.28515625" style="36" customWidth="1"/>
    <col min="10" max="16384" width="9.140625" style="36"/>
  </cols>
  <sheetData>
    <row r="1" spans="1:13" ht="112.5" customHeight="1" x14ac:dyDescent="0.3">
      <c r="A1" s="218" t="s">
        <v>280</v>
      </c>
      <c r="B1" s="219"/>
      <c r="C1" s="219"/>
      <c r="D1" s="219"/>
      <c r="E1" s="219"/>
      <c r="F1" s="219"/>
      <c r="G1" s="216" t="s">
        <v>22</v>
      </c>
      <c r="H1" s="212" t="s">
        <v>66</v>
      </c>
      <c r="I1" s="213" t="s">
        <v>67</v>
      </c>
    </row>
    <row r="2" spans="1:13" ht="18.75" x14ac:dyDescent="0.3">
      <c r="A2" s="220" t="s">
        <v>18</v>
      </c>
      <c r="B2" s="220" t="s">
        <v>1</v>
      </c>
      <c r="C2" s="220" t="s">
        <v>19</v>
      </c>
      <c r="D2" s="219"/>
      <c r="E2" s="219"/>
      <c r="F2" s="221" t="s">
        <v>20</v>
      </c>
      <c r="G2" s="217"/>
      <c r="H2" s="212"/>
      <c r="I2" s="214"/>
    </row>
    <row r="3" spans="1:13" ht="32.25" customHeight="1" x14ac:dyDescent="0.25">
      <c r="A3" s="219"/>
      <c r="B3" s="219"/>
      <c r="C3" s="74" t="s">
        <v>17</v>
      </c>
      <c r="D3" s="74" t="s">
        <v>15</v>
      </c>
      <c r="E3" s="74" t="s">
        <v>16</v>
      </c>
      <c r="F3" s="222"/>
      <c r="G3" s="217"/>
      <c r="H3" s="212"/>
      <c r="I3" s="215"/>
    </row>
    <row r="4" spans="1:13" ht="18.75" x14ac:dyDescent="0.25">
      <c r="A4" s="61">
        <v>1</v>
      </c>
      <c r="B4" s="62" t="s">
        <v>12</v>
      </c>
      <c r="C4" s="61">
        <f>COUNTIFS('Самопроверка по школам'!J2:J131,"I",'Самопроверка по школам'!D2:D131,"СШ №1 г.Сенно")</f>
        <v>4</v>
      </c>
      <c r="D4" s="61">
        <f>COUNTIFS('Самопроверка по школам'!J2:J131,"II",'Самопроверка по школам'!D2:D131,"СШ №1 г.Сенно")</f>
        <v>4</v>
      </c>
      <c r="E4" s="61">
        <f>COUNTIFS('Самопроверка по школам'!J2:J131,"III",'Самопроверка по школам'!D2:D131,"СШ №1 г.Сенно")</f>
        <v>6</v>
      </c>
      <c r="F4" s="61">
        <f>COUNTIFS('Самопроверка по школам'!J2:J131,"п.л.",'Самопроверка по школам'!D2:D131,"СШ №1 г.Сенно")</f>
        <v>13</v>
      </c>
      <c r="G4" s="61">
        <f>SUM(C4,D4,E4)</f>
        <v>14</v>
      </c>
      <c r="H4" s="63">
        <f>COUNTIF('Самопроверка по школам'!$D$2:$D$131,"СШ №1 г.Сенно")</f>
        <v>40</v>
      </c>
      <c r="I4" s="64">
        <f>G4/H4</f>
        <v>0.35</v>
      </c>
      <c r="K4" s="36">
        <f>SUM(C4:E4)</f>
        <v>14</v>
      </c>
      <c r="M4" s="36">
        <v>12</v>
      </c>
    </row>
    <row r="5" spans="1:13" ht="18.75" x14ac:dyDescent="0.25">
      <c r="A5" s="61">
        <v>2</v>
      </c>
      <c r="B5" s="65" t="s">
        <v>21</v>
      </c>
      <c r="C5" s="61">
        <f>COUNTIFS('Самопроверка по школам'!J2:J131,"I",'Самопроверка по школам'!D2:D131,"СШ №2г.Сенно")</f>
        <v>1</v>
      </c>
      <c r="D5" s="61">
        <f>COUNTIFS('Самопроверка по школам'!J2:J131,"II",'Самопроверка по школам'!D2:D131,"СШ №2г.Сенно")</f>
        <v>3</v>
      </c>
      <c r="E5" s="61">
        <f>COUNTIFS('Самопроверка по школам'!J2:J131,"III",'Самопроверка по школам'!D2:D131,"СШ №2г.Сенно")</f>
        <v>3</v>
      </c>
      <c r="F5" s="61">
        <f>COUNTIFS('Самопроверка по школам'!J2:J131,"п.л.",'Самопроверка по школам'!D2:D131,"СШ №2г.Сенно")</f>
        <v>6</v>
      </c>
      <c r="G5" s="61">
        <f t="shared" ref="G5:G8" si="0">SUM(C5,D5,E5)</f>
        <v>7</v>
      </c>
      <c r="H5" s="63">
        <f>COUNTIF('Самопроверка по школам'!$D$2:$D$131,"СШ №2г.Сенно")</f>
        <v>37</v>
      </c>
      <c r="I5" s="64">
        <f t="shared" ref="I5:I13" si="1">G5/H5</f>
        <v>0.1891891891891892</v>
      </c>
      <c r="K5" s="36">
        <f t="shared" ref="K5:K12" si="2">SUM(C5:E5)</f>
        <v>7</v>
      </c>
      <c r="M5" s="36">
        <v>16</v>
      </c>
    </row>
    <row r="6" spans="1:13" ht="18.75" x14ac:dyDescent="0.25">
      <c r="A6" s="61">
        <v>3</v>
      </c>
      <c r="B6" s="62" t="s">
        <v>87</v>
      </c>
      <c r="C6" s="66">
        <f>COUNTIFS('Самопроверка по школам'!J2:J131,"I",'Самопроверка по школам'!D2:D131,"Богушевская СШ")</f>
        <v>3</v>
      </c>
      <c r="D6" s="61">
        <f>COUNTIFS('Самопроверка по школам'!J2:J131,"II",'Самопроверка по школам'!D2:D131,"Богушевская СШ")</f>
        <v>1</v>
      </c>
      <c r="E6" s="61">
        <f>COUNTIFS('Самопроверка по школам'!J2:J131,"III",'Самопроверка по школам'!D2:D131,"Богушевская СШ")</f>
        <v>2</v>
      </c>
      <c r="F6" s="61">
        <f>COUNTIFS('Самопроверка по школам'!J2:J131,"п.л.",'Самопроверка по школам'!D2:D131,"Богушевская СШ")</f>
        <v>11</v>
      </c>
      <c r="G6" s="61">
        <f>SUM(C6,D6,E6)</f>
        <v>6</v>
      </c>
      <c r="H6" s="63">
        <f>COUNTIF('Самопроверка по школам'!$D$2:$D$131,"Богушевская СШ")</f>
        <v>23</v>
      </c>
      <c r="I6" s="64">
        <f t="shared" si="1"/>
        <v>0.2608695652173913</v>
      </c>
      <c r="K6" s="36">
        <f t="shared" si="2"/>
        <v>6</v>
      </c>
      <c r="M6" s="36">
        <v>7</v>
      </c>
    </row>
    <row r="7" spans="1:13" ht="18.75" x14ac:dyDescent="0.25">
      <c r="A7" s="61">
        <v>4</v>
      </c>
      <c r="B7" s="67" t="s">
        <v>144</v>
      </c>
      <c r="C7" s="61">
        <f>COUNTIFS('Самопроверка по школам'!J2:J131,"I",'Самопроверка по школам'!D2:D131,"Белицкая ДССШ")</f>
        <v>0</v>
      </c>
      <c r="D7" s="61">
        <f>COUNTIFS('Самопроверка по школам'!$J$2:$J$131,"II",'Самопроверка по школам'!$D$2:$D$131,"Белицкая ДССШ")</f>
        <v>0</v>
      </c>
      <c r="E7" s="61">
        <f>COUNTIFS('Самопроверка по школам'!$J$2:$J$131,"III",'Самопроверка по школам'!$D$2:$D$131,"Белицкая ДССШ")</f>
        <v>0</v>
      </c>
      <c r="F7" s="61">
        <f>COUNTIFS('Самопроверка по школам'!$J$2:$J$131,"п.л.",'Самопроверка по школам'!$D$2:$D$131,"Белицкая ДССШ")</f>
        <v>2</v>
      </c>
      <c r="G7" s="61">
        <f>SUM(C7,D7,E7)</f>
        <v>0</v>
      </c>
      <c r="H7" s="63">
        <f>COUNTIF('Самопроверка по школам'!$D$2:$D$131,"Белицкая ДССШ")</f>
        <v>2</v>
      </c>
      <c r="I7" s="64">
        <f t="shared" si="1"/>
        <v>0</v>
      </c>
      <c r="K7" s="36">
        <f t="shared" si="2"/>
        <v>0</v>
      </c>
      <c r="M7" s="36">
        <v>1</v>
      </c>
    </row>
    <row r="8" spans="1:13" ht="18.75" x14ac:dyDescent="0.25">
      <c r="A8" s="61">
        <v>5</v>
      </c>
      <c r="B8" s="62" t="s">
        <v>145</v>
      </c>
      <c r="C8" s="61">
        <f>COUNTIFS('Самопроверка по школам'!J3:J48,"I",'Самопроверка по школам'!D3:D48,"Коковчинская ДССШ")</f>
        <v>0</v>
      </c>
      <c r="D8" s="61">
        <f>COUNTIFS('Самопроверка по школам'!$J$2:$J$131,"II",'Самопроверка по школам'!$D$2:$D$131,"Коковчинская ДССШ")</f>
        <v>0</v>
      </c>
      <c r="E8" s="61">
        <f>COUNTIFS('Самопроверка по школам'!$J$2:$J$131,"III",'Самопроверка по школам'!$D$2:$D$131,"Коковчинская ДССШ")</f>
        <v>0</v>
      </c>
      <c r="F8" s="61">
        <f>COUNTIFS('Самопроверка по школам'!$J$2:$J$131,"п.л.",'Самопроверка по школам'!$D$2:$D$131,"Коковчинская ДССШ")</f>
        <v>0</v>
      </c>
      <c r="G8" s="61">
        <f t="shared" si="0"/>
        <v>0</v>
      </c>
      <c r="H8" s="63">
        <f>COUNTIF('Самопроверка по школам'!$D$2:$D$131,"Коковчинская ДССШ")</f>
        <v>0</v>
      </c>
      <c r="I8" s="64" t="e">
        <f t="shared" si="1"/>
        <v>#DIV/0!</v>
      </c>
      <c r="K8" s="36">
        <f t="shared" si="2"/>
        <v>0</v>
      </c>
      <c r="M8" s="36">
        <v>0</v>
      </c>
    </row>
    <row r="9" spans="1:13" ht="18.75" x14ac:dyDescent="0.25">
      <c r="A9" s="61">
        <v>6</v>
      </c>
      <c r="B9" s="62" t="s">
        <v>146</v>
      </c>
      <c r="C9" s="68">
        <f>COUNTIFS('Самопроверка по школам'!J2:J131,"I",'Самопроверка по школам'!D2:D131,"Мошканская ДССШ")</f>
        <v>0</v>
      </c>
      <c r="D9" s="68">
        <f>COUNTIFS('Самопроверка по школам'!$J$2:$J$131,"II",'Самопроверка по школам'!$D$2:$D$131,"Мошканская ДССШ")</f>
        <v>0</v>
      </c>
      <c r="E9" s="68">
        <f>COUNTIFS('Самопроверка по школам'!$J$2:$J$131,"III",'Самопроверка по школам'!$D$2:$D$131,"Мошканская ДССШ")</f>
        <v>1</v>
      </c>
      <c r="F9" s="61">
        <f>COUNTIFS('Самопроверка по школам'!$J$2:$J$131,"п.л.",'Самопроверка по школам'!$D$2:$D$131,"Мошканская ДССШ")</f>
        <v>3</v>
      </c>
      <c r="G9" s="61">
        <f t="shared" ref="G9:G12" si="3">SUM(C9,D9,E9)</f>
        <v>1</v>
      </c>
      <c r="H9" s="63">
        <f>COUNTIF('Самопроверка по школам'!$D$2:$D$131,"Мошканская ДССШ")</f>
        <v>12</v>
      </c>
      <c r="I9" s="64">
        <f t="shared" si="1"/>
        <v>8.3333333333333329E-2</v>
      </c>
      <c r="K9" s="36">
        <f t="shared" si="2"/>
        <v>1</v>
      </c>
      <c r="M9" s="36">
        <v>1</v>
      </c>
    </row>
    <row r="10" spans="1:13" ht="18.75" x14ac:dyDescent="0.25">
      <c r="A10" s="61">
        <v>7</v>
      </c>
      <c r="B10" s="62" t="s">
        <v>147</v>
      </c>
      <c r="C10" s="61">
        <f>COUNTIFS('Самопроверка по школам'!J2:J131,"I",'Самопроверка по школам'!D2:D131,"Студёнковская ДССШ")</f>
        <v>0</v>
      </c>
      <c r="D10" s="61">
        <f>COUNTIFS('Самопроверка по школам'!$J$2:$J$131,"II",'Самопроверка по школам'!$D$2:$D$131,"Студёнковская ДССШ")</f>
        <v>0</v>
      </c>
      <c r="E10" s="61">
        <f>COUNTIFS('Самопроверка по школам'!$J$2:$J$131,"III",'Самопроверка по школам'!$D$2:$D$131,"Студёнковская ДССШ")</f>
        <v>2</v>
      </c>
      <c r="F10" s="61">
        <f>COUNTIFS('Самопроверка по школам'!$J$2:$J$131,"п.л.",'Самопроверка по школам'!$D$2:$D$131,"Студёнковская ДССШ")</f>
        <v>2</v>
      </c>
      <c r="G10" s="61">
        <f t="shared" si="3"/>
        <v>2</v>
      </c>
      <c r="H10" s="63">
        <f>COUNTIF('Самопроверка по школам'!$D$2:$D$131,"Студёнковская ДССШ")</f>
        <v>6</v>
      </c>
      <c r="I10" s="64">
        <f t="shared" si="1"/>
        <v>0.33333333333333331</v>
      </c>
      <c r="K10" s="36">
        <f t="shared" si="2"/>
        <v>2</v>
      </c>
      <c r="M10" s="36">
        <v>1</v>
      </c>
    </row>
    <row r="11" spans="1:13" ht="18.75" x14ac:dyDescent="0.3">
      <c r="A11" s="61">
        <v>8</v>
      </c>
      <c r="B11" s="69" t="s">
        <v>148</v>
      </c>
      <c r="C11" s="61">
        <f>COUNTIFS('Самопроверка по школам'!J2:J131,"I",'Самопроверка по школам'!D2:D131,"Ходцевская ДССШ")</f>
        <v>0</v>
      </c>
      <c r="D11" s="61">
        <f>COUNTIFS('Самопроверка по школам'!$J$2:$J$131,"II",'Самопроверка по школам'!$D$2:$D$131,"Ходцевская ДССШ")</f>
        <v>0</v>
      </c>
      <c r="E11" s="61">
        <f>COUNTIFS('Самопроверка по школам'!$J$2:$J$131,"III",'Самопроверка по школам'!$D$2:$D$131,"Ходцевская ДССШ")</f>
        <v>0</v>
      </c>
      <c r="F11" s="61">
        <f>COUNTIFS('Самопроверка по школам'!$J$2:$J$131,"п.л.",'Самопроверка по школам'!$D$2:$D$131,"Ходцевская ДССШ")</f>
        <v>0</v>
      </c>
      <c r="G11" s="61">
        <f t="shared" si="3"/>
        <v>0</v>
      </c>
      <c r="H11" s="63">
        <f>COUNTIF('Самопроверка по школам'!$D$2:$D$131,"Ходцевская ДССШ")</f>
        <v>0</v>
      </c>
      <c r="I11" s="64" t="e">
        <f t="shared" si="1"/>
        <v>#DIV/0!</v>
      </c>
      <c r="K11" s="36">
        <f t="shared" si="2"/>
        <v>0</v>
      </c>
      <c r="M11" s="36">
        <v>3</v>
      </c>
    </row>
    <row r="12" spans="1:13" ht="18.75" x14ac:dyDescent="0.25">
      <c r="A12" s="61">
        <v>9</v>
      </c>
      <c r="B12" s="62" t="s">
        <v>149</v>
      </c>
      <c r="C12" s="61">
        <f>COUNTIFS('Самопроверка по школам'!J2:J131,"I",'Самопроверка по школам'!D2:D131,"Яновская ДСБШ")</f>
        <v>0</v>
      </c>
      <c r="D12" s="61">
        <f>COUNTIFS('Самопроверка по школам'!$J$2:$J$131,"II",'Самопроверка по школам'!$D$2:$D$131,"Яновская ДСБШ")</f>
        <v>0</v>
      </c>
      <c r="E12" s="61">
        <f>COUNTIFS('Самопроверка по школам'!$J$2:$J$131,"III",'Самопроверка по школам'!$D$2:$D$131,"Яновская ДСБШ")</f>
        <v>1</v>
      </c>
      <c r="F12" s="61">
        <f>COUNTIFS('Самопроверка по школам'!$J$2:$J$131,"п.л.",'Самопроверка по школам'!$D$2:$D$131,"Яновская ДСБШ")</f>
        <v>1</v>
      </c>
      <c r="G12" s="61">
        <f t="shared" si="3"/>
        <v>1</v>
      </c>
      <c r="H12" s="63">
        <f>COUNTIF('Самопроверка по школам'!$D$2:$D$131,"Яновская ДСБШ")</f>
        <v>3</v>
      </c>
      <c r="I12" s="64">
        <f t="shared" si="1"/>
        <v>0.33333333333333331</v>
      </c>
      <c r="K12" s="36">
        <f t="shared" si="2"/>
        <v>1</v>
      </c>
      <c r="M12" s="36">
        <v>0</v>
      </c>
    </row>
    <row r="13" spans="1:13" ht="18.75" x14ac:dyDescent="0.25">
      <c r="A13" s="70"/>
      <c r="B13" s="65" t="s">
        <v>23</v>
      </c>
      <c r="C13" s="74">
        <f t="shared" ref="C13:H13" si="4">SUM(C4:C12)</f>
        <v>8</v>
      </c>
      <c r="D13" s="74">
        <f t="shared" si="4"/>
        <v>8</v>
      </c>
      <c r="E13" s="74">
        <f t="shared" si="4"/>
        <v>15</v>
      </c>
      <c r="F13" s="71">
        <f t="shared" si="4"/>
        <v>38</v>
      </c>
      <c r="G13" s="72">
        <f t="shared" si="4"/>
        <v>31</v>
      </c>
      <c r="H13" s="73">
        <f t="shared" si="4"/>
        <v>123</v>
      </c>
      <c r="I13" s="64">
        <f t="shared" si="1"/>
        <v>0.25203252032520324</v>
      </c>
      <c r="K13" s="84">
        <f>SUM(K4:K12)</f>
        <v>31</v>
      </c>
    </row>
    <row r="14" spans="1:13" x14ac:dyDescent="0.25">
      <c r="E14" s="36">
        <f>SUM(C13:E13)</f>
        <v>31</v>
      </c>
    </row>
    <row r="23" spans="3:3" x14ac:dyDescent="0.25">
      <c r="C23" s="36">
        <f>22+27+14+17+28/4+20+8+21</f>
        <v>136</v>
      </c>
    </row>
  </sheetData>
  <mergeCells count="8">
    <mergeCell ref="H1:H3"/>
    <mergeCell ref="I1:I3"/>
    <mergeCell ref="G1:G3"/>
    <mergeCell ref="A1:F1"/>
    <mergeCell ref="C2:E2"/>
    <mergeCell ref="A2:A3"/>
    <mergeCell ref="B2:B3"/>
    <mergeCell ref="F2:F3"/>
  </mergeCells>
  <pageMargins left="1.299212598425197" right="0.70866141732283472" top="1.1417322834645669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9"/>
  <sheetViews>
    <sheetView workbookViewId="0">
      <selection activeCell="G9" sqref="G9"/>
    </sheetView>
  </sheetViews>
  <sheetFormatPr defaultRowHeight="15" x14ac:dyDescent="0.25"/>
  <cols>
    <col min="1" max="1" width="23.140625" style="13" customWidth="1"/>
    <col min="2" max="2" width="6.28515625" style="13" customWidth="1"/>
    <col min="3" max="3" width="7.5703125" style="13" customWidth="1"/>
    <col min="4" max="4" width="11" style="13" customWidth="1"/>
    <col min="5" max="5" width="4.5703125" style="13" customWidth="1"/>
    <col min="6" max="6" width="3.7109375" style="13" customWidth="1"/>
    <col min="7" max="7" width="4.5703125" style="13" customWidth="1"/>
    <col min="8" max="8" width="4.28515625" style="13" customWidth="1"/>
    <col min="9" max="9" width="3.140625" style="13" customWidth="1"/>
    <col min="10" max="10" width="3.85546875" style="13" customWidth="1"/>
    <col min="11" max="11" width="3.7109375" style="13" customWidth="1"/>
    <col min="12" max="12" width="4.28515625" style="13" customWidth="1"/>
    <col min="13" max="13" width="5" style="13" customWidth="1"/>
    <col min="14" max="14" width="4.42578125" style="13" customWidth="1"/>
    <col min="15" max="15" width="4.7109375" style="13" customWidth="1"/>
    <col min="16" max="16" width="3.7109375" style="13" customWidth="1"/>
    <col min="17" max="17" width="4.7109375" style="13" customWidth="1"/>
    <col min="18" max="18" width="4.28515625" style="13" customWidth="1"/>
    <col min="19" max="19" width="4.140625" style="13" customWidth="1"/>
    <col min="20" max="20" width="4.42578125" style="13" customWidth="1"/>
    <col min="21" max="21" width="4.140625" style="13" customWidth="1"/>
    <col min="22" max="22" width="4.7109375" style="13" customWidth="1"/>
    <col min="23" max="23" width="5.140625" style="13" customWidth="1"/>
    <col min="24" max="24" width="5.28515625" style="13" customWidth="1"/>
    <col min="25" max="16384" width="9.140625" style="13"/>
  </cols>
  <sheetData>
    <row r="1" spans="1:26" ht="62.25" customHeight="1" x14ac:dyDescent="0.25">
      <c r="A1" s="223" t="s">
        <v>283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6" ht="36.75" customHeight="1" x14ac:dyDescent="0.25">
      <c r="A2" s="225" t="s">
        <v>89</v>
      </c>
      <c r="B2" s="226" t="s">
        <v>142</v>
      </c>
      <c r="C2" s="227" t="s">
        <v>24</v>
      </c>
      <c r="D2" s="228" t="s">
        <v>35</v>
      </c>
      <c r="E2" s="223" t="s">
        <v>72</v>
      </c>
      <c r="F2" s="223"/>
      <c r="G2" s="223"/>
      <c r="H2" s="223"/>
      <c r="I2" s="225" t="s">
        <v>36</v>
      </c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39"/>
    </row>
    <row r="3" spans="1:26" ht="57" customHeight="1" x14ac:dyDescent="0.25">
      <c r="A3" s="225"/>
      <c r="B3" s="226"/>
      <c r="C3" s="227"/>
      <c r="D3" s="228"/>
      <c r="E3" s="229" t="s">
        <v>73</v>
      </c>
      <c r="F3" s="230" t="s">
        <v>17</v>
      </c>
      <c r="G3" s="230" t="s">
        <v>15</v>
      </c>
      <c r="H3" s="230" t="s">
        <v>16</v>
      </c>
      <c r="I3" s="231" t="s">
        <v>25</v>
      </c>
      <c r="J3" s="232" t="s">
        <v>26</v>
      </c>
      <c r="K3" s="233" t="s">
        <v>27</v>
      </c>
      <c r="L3" s="234" t="s">
        <v>28</v>
      </c>
      <c r="M3" s="224" t="s">
        <v>29</v>
      </c>
      <c r="N3" s="238" t="s">
        <v>30</v>
      </c>
      <c r="O3" s="239" t="s">
        <v>31</v>
      </c>
      <c r="P3" s="240" t="s">
        <v>32</v>
      </c>
      <c r="Q3" s="224" t="s">
        <v>33</v>
      </c>
      <c r="R3" s="241" t="s">
        <v>37</v>
      </c>
      <c r="S3" s="233" t="s">
        <v>38</v>
      </c>
      <c r="T3" s="236" t="s">
        <v>39</v>
      </c>
      <c r="U3" s="235" t="s">
        <v>40</v>
      </c>
      <c r="V3" s="236" t="s">
        <v>90</v>
      </c>
      <c r="W3" s="237" t="s">
        <v>91</v>
      </c>
      <c r="X3" s="235" t="s">
        <v>85</v>
      </c>
    </row>
    <row r="4" spans="1:26" ht="15" customHeight="1" x14ac:dyDescent="0.25">
      <c r="A4" s="225"/>
      <c r="B4" s="226"/>
      <c r="C4" s="227"/>
      <c r="D4" s="228"/>
      <c r="E4" s="229"/>
      <c r="F4" s="230"/>
      <c r="G4" s="230"/>
      <c r="H4" s="230"/>
      <c r="I4" s="231"/>
      <c r="J4" s="232"/>
      <c r="K4" s="233"/>
      <c r="L4" s="234"/>
      <c r="M4" s="224"/>
      <c r="N4" s="238"/>
      <c r="O4" s="239"/>
      <c r="P4" s="240"/>
      <c r="Q4" s="224"/>
      <c r="R4" s="241"/>
      <c r="S4" s="233"/>
      <c r="T4" s="236"/>
      <c r="U4" s="235"/>
      <c r="V4" s="236"/>
      <c r="W4" s="237"/>
      <c r="X4" s="235"/>
    </row>
    <row r="5" spans="1:26" ht="18.75" x14ac:dyDescent="0.25">
      <c r="A5" s="7" t="s">
        <v>12</v>
      </c>
      <c r="B5" s="76">
        <v>109</v>
      </c>
      <c r="C5" s="3">
        <f>COUNTIF('Самопроверка по школам'!$D$2:$D$131,"СШ №1 г.Сенно")</f>
        <v>40</v>
      </c>
      <c r="D5" s="10">
        <f>E5/C5</f>
        <v>0.35</v>
      </c>
      <c r="E5" s="75">
        <f>SUM(F5:H5)</f>
        <v>14</v>
      </c>
      <c r="F5" s="74">
        <v>4</v>
      </c>
      <c r="G5" s="74">
        <v>4</v>
      </c>
      <c r="H5" s="74">
        <v>6</v>
      </c>
      <c r="I5" s="8">
        <v>1</v>
      </c>
      <c r="J5" s="8">
        <v>1</v>
      </c>
      <c r="K5" s="8">
        <v>1</v>
      </c>
      <c r="L5" s="8"/>
      <c r="M5" s="8">
        <v>1</v>
      </c>
      <c r="N5" s="8"/>
      <c r="O5" s="8">
        <v>1</v>
      </c>
      <c r="P5" s="8"/>
      <c r="Q5" s="8">
        <v>3</v>
      </c>
      <c r="R5" s="8">
        <v>1</v>
      </c>
      <c r="S5" s="8"/>
      <c r="T5" s="8"/>
      <c r="U5" s="8">
        <v>1</v>
      </c>
      <c r="V5" s="8"/>
      <c r="W5" s="8"/>
      <c r="X5" s="8">
        <v>4</v>
      </c>
      <c r="Y5" s="41"/>
      <c r="Z5" s="13">
        <f t="shared" ref="Z5:Z13" si="0">SUM(I5:X5)</f>
        <v>14</v>
      </c>
    </row>
    <row r="6" spans="1:26" ht="18.75" x14ac:dyDescent="0.25">
      <c r="A6" s="7" t="s">
        <v>10</v>
      </c>
      <c r="B6" s="76">
        <v>107</v>
      </c>
      <c r="C6" s="3">
        <f>COUNTIF('Самопроверка по школам'!$D$2:$D$131,"СШ №2г.Сенно")</f>
        <v>37</v>
      </c>
      <c r="D6" s="10">
        <f t="shared" ref="D6:D14" si="1">E6/C6</f>
        <v>0.1891891891891892</v>
      </c>
      <c r="E6" s="75">
        <f t="shared" ref="E6:E14" si="2">SUM(F6:H6)</f>
        <v>7</v>
      </c>
      <c r="F6" s="74">
        <v>1</v>
      </c>
      <c r="G6" s="74">
        <v>3</v>
      </c>
      <c r="H6" s="74">
        <v>3</v>
      </c>
      <c r="I6" s="8"/>
      <c r="J6" s="8"/>
      <c r="K6" s="8">
        <v>1</v>
      </c>
      <c r="L6" s="8"/>
      <c r="M6" s="8"/>
      <c r="N6" s="8"/>
      <c r="O6" s="8">
        <v>1</v>
      </c>
      <c r="P6" s="8"/>
      <c r="Q6" s="8"/>
      <c r="R6" s="8"/>
      <c r="S6" s="8"/>
      <c r="T6" s="8"/>
      <c r="U6" s="8"/>
      <c r="V6" s="8">
        <v>2</v>
      </c>
      <c r="W6" s="8">
        <v>2</v>
      </c>
      <c r="X6" s="8">
        <v>1</v>
      </c>
      <c r="Y6" s="41"/>
      <c r="Z6" s="17">
        <f>SUM(I6:X6)</f>
        <v>7</v>
      </c>
    </row>
    <row r="7" spans="1:26" ht="18.75" x14ac:dyDescent="0.25">
      <c r="A7" s="7" t="s">
        <v>86</v>
      </c>
      <c r="B7" s="76">
        <v>63</v>
      </c>
      <c r="C7" s="3">
        <f>COUNTIF('Самопроверка по школам'!$D$2:$D$131,"Богушевская СШ")</f>
        <v>23</v>
      </c>
      <c r="D7" s="10">
        <f t="shared" si="1"/>
        <v>0.2608695652173913</v>
      </c>
      <c r="E7" s="75">
        <f t="shared" si="2"/>
        <v>6</v>
      </c>
      <c r="F7" s="74">
        <v>3</v>
      </c>
      <c r="G7" s="74">
        <v>1</v>
      </c>
      <c r="H7" s="74">
        <v>2</v>
      </c>
      <c r="I7" s="8"/>
      <c r="J7" s="8">
        <v>4</v>
      </c>
      <c r="K7" s="8"/>
      <c r="L7" s="8"/>
      <c r="M7" s="8"/>
      <c r="N7" s="8"/>
      <c r="O7" s="8"/>
      <c r="P7" s="8"/>
      <c r="Q7" s="8">
        <v>1</v>
      </c>
      <c r="R7" s="8"/>
      <c r="S7" s="8"/>
      <c r="T7" s="8"/>
      <c r="U7" s="8">
        <v>1</v>
      </c>
      <c r="V7" s="8"/>
      <c r="W7" s="8"/>
      <c r="X7" s="8"/>
      <c r="Y7" s="41"/>
      <c r="Z7" s="13">
        <f t="shared" si="0"/>
        <v>6</v>
      </c>
    </row>
    <row r="8" spans="1:26" ht="18.75" x14ac:dyDescent="0.25">
      <c r="A8" s="7" t="s">
        <v>144</v>
      </c>
      <c r="B8" s="76">
        <v>3</v>
      </c>
      <c r="C8" s="3">
        <f>COUNTIF('Самопроверка по школам'!$D$2:$D$131,"Белицкая ДССШ")</f>
        <v>2</v>
      </c>
      <c r="D8" s="10">
        <f t="shared" si="1"/>
        <v>0</v>
      </c>
      <c r="E8" s="75">
        <f t="shared" si="2"/>
        <v>0</v>
      </c>
      <c r="F8" s="74"/>
      <c r="G8" s="74"/>
      <c r="H8" s="74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41"/>
      <c r="Z8" s="13">
        <f t="shared" si="0"/>
        <v>0</v>
      </c>
    </row>
    <row r="9" spans="1:26" ht="18.75" x14ac:dyDescent="0.25">
      <c r="A9" s="7" t="s">
        <v>145</v>
      </c>
      <c r="B9" s="76">
        <v>5</v>
      </c>
      <c r="C9" s="3">
        <f>COUNTIF('Самопроверка по школам'!$D$2:$D$131,"Коковчинская ДССШ")</f>
        <v>0</v>
      </c>
      <c r="D9" s="10" t="e">
        <f t="shared" si="1"/>
        <v>#DIV/0!</v>
      </c>
      <c r="E9" s="75">
        <f t="shared" si="2"/>
        <v>0</v>
      </c>
      <c r="F9" s="74"/>
      <c r="G9" s="74"/>
      <c r="H9" s="74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41"/>
      <c r="Z9" s="13">
        <f t="shared" si="0"/>
        <v>0</v>
      </c>
    </row>
    <row r="10" spans="1:26" ht="18.75" x14ac:dyDescent="0.25">
      <c r="A10" s="7" t="s">
        <v>146</v>
      </c>
      <c r="B10" s="76">
        <v>25</v>
      </c>
      <c r="C10" s="3">
        <f>COUNTIF('Самопроверка по школам'!$D$2:$D$131,"Мошканская ДССШ")</f>
        <v>12</v>
      </c>
      <c r="D10" s="10">
        <f t="shared" si="1"/>
        <v>8.3333333333333329E-2</v>
      </c>
      <c r="E10" s="75">
        <f t="shared" si="2"/>
        <v>1</v>
      </c>
      <c r="F10" s="74"/>
      <c r="G10" s="74"/>
      <c r="H10" s="74">
        <v>1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>
        <v>1</v>
      </c>
      <c r="Y10" s="41"/>
      <c r="Z10" s="13">
        <f t="shared" si="0"/>
        <v>1</v>
      </c>
    </row>
    <row r="11" spans="1:26" ht="18.75" x14ac:dyDescent="0.25">
      <c r="A11" s="7" t="s">
        <v>147</v>
      </c>
      <c r="B11" s="76">
        <v>10</v>
      </c>
      <c r="C11" s="3">
        <f>COUNTIF('Самопроверка по школам'!$D$2:$D$131,"Студёнковская ДССШ")</f>
        <v>6</v>
      </c>
      <c r="D11" s="10">
        <f t="shared" si="1"/>
        <v>0.33333333333333331</v>
      </c>
      <c r="E11" s="75">
        <f t="shared" si="2"/>
        <v>2</v>
      </c>
      <c r="F11" s="74"/>
      <c r="G11" s="74"/>
      <c r="H11" s="74">
        <v>2</v>
      </c>
      <c r="I11" s="8">
        <v>1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>
        <v>1</v>
      </c>
      <c r="X11" s="8"/>
      <c r="Y11" s="41"/>
      <c r="Z11" s="13">
        <f t="shared" si="0"/>
        <v>2</v>
      </c>
    </row>
    <row r="12" spans="1:26" ht="18.75" x14ac:dyDescent="0.25">
      <c r="A12" s="7" t="s">
        <v>148</v>
      </c>
      <c r="B12" s="76">
        <v>2</v>
      </c>
      <c r="C12" s="3">
        <f>COUNTIF('Самопроверка по школам'!$D$2:$D$131,"Ходцевская ДССШ")</f>
        <v>0</v>
      </c>
      <c r="D12" s="10">
        <v>0</v>
      </c>
      <c r="E12" s="75">
        <f t="shared" si="2"/>
        <v>0</v>
      </c>
      <c r="F12" s="74"/>
      <c r="G12" s="74"/>
      <c r="H12" s="74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41"/>
      <c r="Z12" s="13">
        <f t="shared" si="0"/>
        <v>0</v>
      </c>
    </row>
    <row r="13" spans="1:26" ht="18.75" x14ac:dyDescent="0.25">
      <c r="A13" s="7" t="s">
        <v>149</v>
      </c>
      <c r="B13" s="76">
        <v>12</v>
      </c>
      <c r="C13" s="3">
        <f>COUNTIF('Самопроверка по школам'!$D$2:$D$131,"Яновская ДСБШ")</f>
        <v>3</v>
      </c>
      <c r="D13" s="10">
        <f t="shared" si="1"/>
        <v>0.33333333333333331</v>
      </c>
      <c r="E13" s="75">
        <f t="shared" si="2"/>
        <v>1</v>
      </c>
      <c r="F13" s="74"/>
      <c r="G13" s="74"/>
      <c r="H13" s="74">
        <v>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>
        <v>1</v>
      </c>
      <c r="Y13" s="41"/>
      <c r="Z13" s="13">
        <f t="shared" si="0"/>
        <v>1</v>
      </c>
    </row>
    <row r="14" spans="1:26" ht="18.75" x14ac:dyDescent="0.25">
      <c r="A14" s="18" t="s">
        <v>34</v>
      </c>
      <c r="B14" s="92">
        <f>SUM(B5:B13)</f>
        <v>336</v>
      </c>
      <c r="C14" s="93">
        <f>SUM(C5:C13)</f>
        <v>123</v>
      </c>
      <c r="D14" s="94">
        <f t="shared" si="1"/>
        <v>0.25203252032520324</v>
      </c>
      <c r="E14" s="95">
        <f t="shared" si="2"/>
        <v>31</v>
      </c>
      <c r="F14" s="93">
        <f t="shared" ref="F14:X14" si="3">SUM(F5:F13)</f>
        <v>8</v>
      </c>
      <c r="G14" s="93">
        <f t="shared" si="3"/>
        <v>8</v>
      </c>
      <c r="H14" s="93">
        <f t="shared" si="3"/>
        <v>15</v>
      </c>
      <c r="I14" s="96">
        <f t="shared" si="3"/>
        <v>2</v>
      </c>
      <c r="J14" s="97">
        <f t="shared" si="3"/>
        <v>5</v>
      </c>
      <c r="K14" s="98">
        <f t="shared" si="3"/>
        <v>2</v>
      </c>
      <c r="L14" s="99">
        <f t="shared" si="3"/>
        <v>0</v>
      </c>
      <c r="M14" s="100">
        <f t="shared" si="3"/>
        <v>1</v>
      </c>
      <c r="N14" s="101">
        <f t="shared" si="3"/>
        <v>0</v>
      </c>
      <c r="O14" s="96">
        <f t="shared" si="3"/>
        <v>2</v>
      </c>
      <c r="P14" s="102">
        <f t="shared" si="3"/>
        <v>0</v>
      </c>
      <c r="Q14" s="92">
        <f t="shared" si="3"/>
        <v>4</v>
      </c>
      <c r="R14" s="103">
        <f t="shared" si="3"/>
        <v>1</v>
      </c>
      <c r="S14" s="98">
        <f t="shared" si="3"/>
        <v>0</v>
      </c>
      <c r="T14" s="104">
        <f t="shared" si="3"/>
        <v>0</v>
      </c>
      <c r="U14" s="92">
        <f t="shared" si="3"/>
        <v>2</v>
      </c>
      <c r="V14" s="104">
        <f t="shared" si="3"/>
        <v>2</v>
      </c>
      <c r="W14" s="95">
        <f t="shared" si="3"/>
        <v>3</v>
      </c>
      <c r="X14" s="99">
        <f t="shared" si="3"/>
        <v>7</v>
      </c>
      <c r="Y14" s="17"/>
      <c r="Z14" s="105">
        <f>SUM(I14:X14)</f>
        <v>31</v>
      </c>
    </row>
    <row r="15" spans="1:26" ht="48.75" customHeight="1" x14ac:dyDescent="0.25">
      <c r="A15" s="34"/>
      <c r="B15" s="34"/>
      <c r="C15" s="34"/>
      <c r="D15" s="34"/>
      <c r="E15" s="34"/>
      <c r="F15" s="34"/>
      <c r="G15" s="34">
        <f>SUM(F14:H14)</f>
        <v>31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6" ht="15.75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ht="15.75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ht="15.75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ht="15.75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</sheetData>
  <mergeCells count="27">
    <mergeCell ref="X3:X4"/>
    <mergeCell ref="T3:T4"/>
    <mergeCell ref="U3:U4"/>
    <mergeCell ref="W3:W4"/>
    <mergeCell ref="N3:N4"/>
    <mergeCell ref="O3:O4"/>
    <mergeCell ref="P3:P4"/>
    <mergeCell ref="Q3:Q4"/>
    <mergeCell ref="R3:R4"/>
    <mergeCell ref="S3:S4"/>
    <mergeCell ref="V3:V4"/>
    <mergeCell ref="A1:X1"/>
    <mergeCell ref="M3:M4"/>
    <mergeCell ref="A2:A4"/>
    <mergeCell ref="B2:B4"/>
    <mergeCell ref="C2:C4"/>
    <mergeCell ref="D2:D4"/>
    <mergeCell ref="E2:H2"/>
    <mergeCell ref="I2:W2"/>
    <mergeCell ref="E3:E4"/>
    <mergeCell ref="F3:F4"/>
    <mergeCell ref="G3:G4"/>
    <mergeCell ref="H3:H4"/>
    <mergeCell ref="I3:I4"/>
    <mergeCell ref="J3:J4"/>
    <mergeCell ref="K3:K4"/>
    <mergeCell ref="L3:L4"/>
  </mergeCells>
  <pageMargins left="0.70866141732283472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"/>
  <sheetViews>
    <sheetView zoomScale="112" zoomScaleNormal="112" workbookViewId="0">
      <selection activeCell="B5" sqref="B5"/>
    </sheetView>
  </sheetViews>
  <sheetFormatPr defaultRowHeight="15" x14ac:dyDescent="0.25"/>
  <cols>
    <col min="1" max="1" width="21.7109375" style="42" customWidth="1"/>
    <col min="2" max="13" width="9.7109375" style="42" customWidth="1"/>
    <col min="14" max="16384" width="9.140625" style="42"/>
  </cols>
  <sheetData>
    <row r="1" spans="1:15" ht="59.25" customHeight="1" x14ac:dyDescent="0.25">
      <c r="A1" s="243" t="s">
        <v>281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5"/>
      <c r="M1" s="106"/>
    </row>
    <row r="2" spans="1:15" ht="47.25" customHeight="1" x14ac:dyDescent="0.25">
      <c r="A2" s="246" t="s">
        <v>41</v>
      </c>
      <c r="B2" s="247" t="s">
        <v>42</v>
      </c>
      <c r="C2" s="248" t="s">
        <v>43</v>
      </c>
      <c r="D2" s="249" t="s">
        <v>44</v>
      </c>
      <c r="E2" s="250" t="s">
        <v>45</v>
      </c>
      <c r="F2" s="250" t="s">
        <v>46</v>
      </c>
      <c r="G2" s="250" t="s">
        <v>47</v>
      </c>
      <c r="H2" s="251" t="s">
        <v>48</v>
      </c>
      <c r="I2" s="242" t="s">
        <v>62</v>
      </c>
      <c r="J2" s="242" t="s">
        <v>63</v>
      </c>
      <c r="K2" s="242" t="s">
        <v>64</v>
      </c>
      <c r="L2" s="242" t="s">
        <v>65</v>
      </c>
      <c r="M2" s="107"/>
    </row>
    <row r="3" spans="1:15" ht="59.25" customHeight="1" x14ac:dyDescent="0.25">
      <c r="A3" s="246"/>
      <c r="B3" s="247"/>
      <c r="C3" s="248"/>
      <c r="D3" s="249"/>
      <c r="E3" s="250"/>
      <c r="F3" s="250"/>
      <c r="G3" s="250"/>
      <c r="H3" s="251"/>
      <c r="I3" s="242"/>
      <c r="J3" s="242"/>
      <c r="K3" s="242"/>
      <c r="L3" s="242"/>
      <c r="M3" s="107"/>
    </row>
    <row r="4" spans="1:15" ht="30" x14ac:dyDescent="0.25">
      <c r="A4" s="58" t="s">
        <v>49</v>
      </c>
      <c r="B4" s="6">
        <f>COUNTIFS('Самопроверка по школам'!E2:E131,"Русский язык и литература")</f>
        <v>10</v>
      </c>
      <c r="C4" s="6">
        <f>'Результативность по предметам'!J14</f>
        <v>5</v>
      </c>
      <c r="D4" s="11">
        <f>C4/B4</f>
        <v>0.5</v>
      </c>
      <c r="E4" s="6">
        <f>COUNTIFS('Самопроверка по школам'!J2:J131,"I",'Самопроверка по школам'!E2:E131,"Русский язык и литература")</f>
        <v>1</v>
      </c>
      <c r="F4" s="6">
        <f>COUNTIFS('Самопроверка по школам'!J2:J131,"II",'Самопроверка по школам'!E2:E131,"Русский язык и литература")</f>
        <v>1</v>
      </c>
      <c r="G4" s="9">
        <f>COUNTIFS('Самопроверка по школам'!J2:J131,"III",'Самопроверка по школам'!E2:E131,"Русский язык и литература")</f>
        <v>3</v>
      </c>
      <c r="H4" s="6">
        <f>COUNTIFS('Самопроверка по школам'!J2:J131,"п.л.",'Самопроверка по школам'!E2:E131,"Русский язык и литература")</f>
        <v>2</v>
      </c>
      <c r="I4" s="6">
        <f>COUNTIFS('Самопроверка по школам'!J2:J131,"I",'Самопроверка по школам'!E2:E131,"Русский язык и литература",'Самопроверка по школам'!F2:F131,8)+COUNTIFS('Самопроверка по школам'!J2:J131,"II",'Самопроверка по школам'!E2:E131,"Русский язык и литература",'Самопроверка по школам'!F2:F131,8)+COUNTIFS('Самопроверка по школам'!J2:J131,"III",'Самопроверка по школам'!E2:E131,"Русский язык и литература",'Самопроверка по школам'!F2:F131,8)</f>
        <v>0</v>
      </c>
      <c r="J4" s="6">
        <f>COUNTIFS('Самопроверка по школам'!J2:J131,"I",'Самопроверка по школам'!E2:E131,"Русский язык и литература",'Самопроверка по школам'!F2:F131,9)+COUNTIFS('Самопроверка по школам'!J2:J131,"II",'Самопроверка по школам'!E2:E131,"Русский язык и литература",'Самопроверка по школам'!F2:F131,9)+COUNTIFS('Самопроверка по школам'!J2:J131,"III",'Самопроверка по школам'!E2:E131,"Русский язык и литература",'Самопроверка по школам'!F2:F131,9)</f>
        <v>2</v>
      </c>
      <c r="K4" s="6">
        <f>COUNTIFS('Самопроверка по школам'!J2:J131,"I",'Самопроверка по школам'!E2:E131,"Русский язык и литература",'Самопроверка по школам'!F2:F131,10)+COUNTIFS('Самопроверка по школам'!J2:J131,"II",'Самопроверка по школам'!E2:E131,"Русский язык и литература",'Самопроверка по школам'!F2:F131,10)+COUNTIFS('Самопроверка по школам'!J2:J131,"III",'Самопроверка по школам'!E2:E131,"Русский язык и литература",'Самопроверка по школам'!F2:F131,10)</f>
        <v>2</v>
      </c>
      <c r="L4" s="6">
        <f>COUNTIFS('Самопроверка по школам'!J2:J131,"I",'Самопроверка по школам'!E2:E131,"Русский язык и литература",'Самопроверка по школам'!F2:F131,11)+COUNTIFS('Самопроверка по школам'!J2:J131,"II",'Самопроверка по школам'!E2:E131,"Русский язык и литература",'Самопроверка по школам'!F2:F131,11)+COUNTIFS('Самопроверка по школам'!J2:J131,"III",'Самопроверка по школам'!E2:E131,"Русский язык и литература",'Самопроверка по школам'!F2:F131,11)</f>
        <v>1</v>
      </c>
      <c r="M4" s="108"/>
      <c r="N4" s="41">
        <f>SUM(E4:G4)</f>
        <v>5</v>
      </c>
      <c r="O4" s="41">
        <f>SUM(I4:L4)</f>
        <v>5</v>
      </c>
    </row>
    <row r="5" spans="1:15" ht="30" x14ac:dyDescent="0.25">
      <c r="A5" s="58" t="s">
        <v>50</v>
      </c>
      <c r="B5" s="6">
        <f>COUNTIFS('Самопроверка по школам'!E2:E131,"бел.яз и лит.")</f>
        <v>13</v>
      </c>
      <c r="C5" s="6">
        <f>'Результативность по предметам'!I14</f>
        <v>2</v>
      </c>
      <c r="D5" s="11">
        <f t="shared" ref="D5:D17" si="0">C5/B5</f>
        <v>0.15384615384615385</v>
      </c>
      <c r="E5" s="6">
        <f>COUNTIFS('Самопроверка по школам'!J2:J131,"I",'Самопроверка по школам'!E2:E131,"бел.яз и лит.")</f>
        <v>0</v>
      </c>
      <c r="F5" s="6">
        <f>COUNTIFS('Самопроверка по школам'!J2:J131,"II",'Самопроверка по школам'!E2:E131,"бел.яз и лит.")</f>
        <v>0</v>
      </c>
      <c r="G5" s="6">
        <f>COUNTIFS('Самопроверка по школам'!J2:J131,"III",'Самопроверка по школам'!E2:E131,"бел.яз и лит.")</f>
        <v>2</v>
      </c>
      <c r="H5" s="6">
        <f>COUNTIFS('Самопроверка по школам'!J2:J131,"п.л.",'Самопроверка по школам'!E2:E131,"бел.яз и лит.")</f>
        <v>5</v>
      </c>
      <c r="I5" s="6">
        <f>COUNTIFS('Самопроверка по школам'!J2:J131,"I",'Самопроверка по школам'!E2:E131,"бел.яз и лит.",'Самопроверка по школам'!F2:F131,8)+COUNTIFS('Самопроверка по школам'!J2:J131,"II",'Самопроверка по школам'!E2:E131,"бел.яз и лит.",'Самопроверка по школам'!F2:F131,8)+COUNTIFS('Самопроверка по школам'!J2:J131,"III",'Самопроверка по школам'!E2:E131,"бел.яз и лит.",'Самопроверка по школам'!F2:F131,8)</f>
        <v>0</v>
      </c>
      <c r="J5" s="6">
        <f>COUNTIFS('Самопроверка по школам'!J2:J131,"I",'Самопроверка по школам'!E2:E131,"бел.яз и лит.",'Самопроверка по школам'!F2:F131,9)+COUNTIFS('Самопроверка по школам'!J2:J131,"II",'Самопроверка по школам'!E2:E131,"бел.яз и лит.",'Самопроверка по школам'!F2:F131,9)+COUNTIFS('Самопроверка по школам'!J2:J131,"III",'Самопроверка по школам'!E2:E131,"бел.яз и лит.",'Самопроверка по школам'!F2:F131,9)</f>
        <v>0</v>
      </c>
      <c r="K5" s="6">
        <f>COUNTIFS('Самопроверка по школам'!J2:J131,"I",'Самопроверка по школам'!E2:E131,"бел.яз и лит.",'Самопроверка по школам'!F2:F131,10)+COUNTIFS('Самопроверка по школам'!J2:J131,"II",'Самопроверка по школам'!E2:E131,"бел.яз и лит.",'Самопроверка по школам'!F2:F131,10)+COUNTIFS('Самопроверка по школам'!J2:J131,"III",'Самопроверка по школам'!E2:E131,"бел.яз и лит.",'Самопроверка по школам'!F2:F131,10)</f>
        <v>1</v>
      </c>
      <c r="L5" s="6">
        <f>COUNTIFS('Самопроверка по школам'!J2:J131,"I",'Самопроверка по школам'!E2:E131,"бел.яз и лит.",'Самопроверка по школам'!F2:F131,11)+COUNTIFS('Самопроверка по школам'!J2:J131,"II",'Самопроверка по школам'!E2:E131,"бел.яз и лит.",'Самопроверка по школам'!F2:F131,11)+COUNTIFS('Самопроверка по школам'!J2:J131,"III",'Самопроверка по школам'!E2:E131,"бел.яз и лит.",'Самопроверка по школам'!F2:F131,11)</f>
        <v>1</v>
      </c>
      <c r="M5" s="108"/>
      <c r="N5" s="41">
        <f t="shared" ref="N5:N17" si="1">SUM(E5:G5)</f>
        <v>2</v>
      </c>
      <c r="O5" s="41">
        <f t="shared" ref="O5:O18" si="2">SUM(I5:L5)</f>
        <v>2</v>
      </c>
    </row>
    <row r="6" spans="1:15" ht="30" x14ac:dyDescent="0.25">
      <c r="A6" s="58" t="s">
        <v>51</v>
      </c>
      <c r="B6" s="6">
        <f>COUNTIFS('Самопроверка по школам'!E2:E131,"Английский язык")+COUNTIFS('Самопроверка по школам'!E2:E131,"нем.яз.")</f>
        <v>8</v>
      </c>
      <c r="C6" s="6">
        <f>'Результативность по предметам'!K14+'Результативность по предметам'!L14</f>
        <v>2</v>
      </c>
      <c r="D6" s="11">
        <f t="shared" si="0"/>
        <v>0.25</v>
      </c>
      <c r="E6" s="6">
        <f>COUNTIFS('Самопроверка по школам'!J2:J131,"I",'Самопроверка по школам'!E2:E131,"Английский язык")+COUNTIFS('Самопроверка по школам'!J2:J131,"I",'Самопроверка по школам'!E2:E131,"нем.яз.")</f>
        <v>1</v>
      </c>
      <c r="F6" s="6">
        <f>COUNTIFS('Самопроверка по школам'!J2:J131,"II",'Самопроверка по школам'!E2:E131,"Английский язык")+COUNTIFS('Самопроверка по школам'!J2:J131,"II",'Самопроверка по школам'!E2:E131,"нем.яз.")</f>
        <v>0</v>
      </c>
      <c r="G6" s="6">
        <f>COUNTIFS('Самопроверка по школам'!J2:J131,"III",'Самопроверка по школам'!E2:E131,"Английский язык")+COUNTIFS('Самопроверка по школам'!J2:J131,"III",'Самопроверка по школам'!E2:E131,"нем.яз.")</f>
        <v>1</v>
      </c>
      <c r="H6" s="6">
        <f>COUNTIFS('Самопроверка по школам'!J2:J131,"п.л.",'Самопроверка по школам'!E2:E131,"Английский язык")+COUNTIFS('Самопроверка по школам'!J2:J131,"п.л.",'Самопроверка по школам'!E2:E131,"нем.яз")</f>
        <v>4</v>
      </c>
      <c r="I6" s="6">
        <f>COUNTIFS('Самопроверка по школам'!$J$2:$J$131,"I",'Самопроверка по школам'!$E$2:$E$131,"Английский язык",'Самопроверка по школам'!$F$2:$F$131,8)+COUNTIFS('Самопроверка по школам'!$J$2:$J$131,"II",'Самопроверка по школам'!$E$2:$E$131,"Английский язык",'Самопроверка по школам'!$F$2:$F$131,8)+COUNTIFS('Самопроверка по школам'!$J$2:$J$131,"III",'Самопроверка по школам'!$E$2:$E$131,"Английский язык",'Самопроверка по школам'!$F$2:$F$131,8)+COUNTIFS('Самопроверка по школам'!$J$2:$J$131,"I",'Самопроверка по школам'!$E$2:$E$131,"нем.яз.",'Самопроверка по школам'!$F$2:$F$131,8)+COUNTIFS('Самопроверка по школам'!$J$2:$J$131,"II",'Самопроверка по школам'!$E$2:$E$131,"нем.яз.",'Самопроверка по школам'!$F$2:$F$131,8)+COUNTIFS('Самопроверка по школам'!$J$2:$J$131,"III",'Самопроверка по школам'!$E$2:$E$131,"нем.яз.",'Самопроверка по школам'!$F$2:$F$131,8)</f>
        <v>0</v>
      </c>
      <c r="J6" s="6">
        <f>COUNTIFS('Самопроверка по школам'!$J$2:$J$131,"I",'Самопроверка по школам'!$E$2:$E$131,"Английский язык",'Самопроверка по школам'!$F$2:$F$131,9)+COUNTIFS('Самопроверка по школам'!$J$2:$J$131,"II",'Самопроверка по школам'!$E$2:$E$131,"Английский язык",'Самопроверка по школам'!$F$2:$F$131,9)+COUNTIFS('Самопроверка по школам'!$J$2:$J$131,"III",'Самопроверка по школам'!$E$2:$E$131,"Английский язык",'Самопроверка по школам'!$F$2:$F$131,9)+COUNTIFS('Самопроверка по школам'!$J$2:$J$131,"I",'Самопроверка по школам'!$E$2:$E$131,"нем.яз.",'Самопроверка по школам'!$F$2:$F$131,9)+COUNTIFS('Самопроверка по школам'!$J$2:$J$131,"II",'Самопроверка по школам'!$E$2:$E$131,"нем.яз.",'Самопроверка по школам'!$F$2:$F$131,9)+COUNTIFS('Самопроверка по школам'!$J$2:$J$131,"III",'Самопроверка по школам'!$E$2:$E$131,"нем.яз.",'Самопроверка по школам'!$F$2:$F$131,9)</f>
        <v>1</v>
      </c>
      <c r="K6" s="6">
        <f>COUNTIFS('Самопроверка по школам'!$J$2:$J$131,"I",'Самопроверка по школам'!$E$2:$E$131,"Английский язык",'Самопроверка по школам'!$F$2:$F$131,10)+COUNTIFS('Самопроверка по школам'!$J$2:$J$131,"II",'Самопроверка по школам'!$E$2:$E$131,"Английский язык",'Самопроверка по школам'!$F$2:$F$131,10)+COUNTIFS('Самопроверка по школам'!$J$2:$J$131,"III",'Самопроверка по школам'!$E$2:$E$131,"Английский язык",'Самопроверка по школам'!$F$2:$F$131,10)+COUNTIFS('Самопроверка по школам'!$J$2:$J$131,"I",'Самопроверка по школам'!$E$2:$E$131,"нем.я.з",'Самопроверка по школам'!$F$2:$F$131,10)+COUNTIFS('Самопроверка по школам'!$J$2:$J$131,"II",'Самопроверка по школам'!$E$2:$E$131,"нем.яз.",'Самопроверка по школам'!$F$2:$F$131,10)+COUNTIFS('Самопроверка по школам'!$J$2:$J$131,"III",'Самопроверка по школам'!$E$2:$E$131,"нем.яз.",'Самопроверка по школам'!$F$2:$F$131,10)</f>
        <v>1</v>
      </c>
      <c r="L6" s="6">
        <f>COUNTIFS('Самопроверка по школам'!$J$2:$J$131,"I",'Самопроверка по школам'!$E$2:$E$131,"Английский язык",'Самопроверка по школам'!$F$2:$F$131,11)+COUNTIFS('Самопроверка по школам'!$J$2:$J$131,"II",'Самопроверка по школам'!$E$2:$E$131,"Английский язык",'Самопроверка по школам'!$F$2:$F$131,11)+COUNTIFS('Самопроверка по школам'!$J$2:$J$131,"III",'Самопроверка по школам'!$E$2:$E$131,"Английский язык",'Самопроверка по школам'!$F$2:$F$131,11)+COUNTIFS('Самопроверка по школам'!$J$2:$J$131,"I",'Самопроверка по школам'!$E$2:$E$131,"нем.яз.",'Самопроверка по школам'!$F$2:$F$131,11)+COUNTIFS('Самопроверка по школам'!$J$2:$J$131,"II",'Самопроверка по школам'!$E$2:$E$131,"нем.яз.",'Самопроверка по школам'!$F$2:$F$131,11)+COUNTIFS('Самопроверка по школам'!$J$2:$J$131,"III",'Самопроверка по школам'!$E$2:$E$131,"нем.яз.",'Самопроверка по школам'!$F$2:$F$131,11)</f>
        <v>0</v>
      </c>
      <c r="M6" s="108"/>
      <c r="N6" s="41">
        <f t="shared" si="1"/>
        <v>2</v>
      </c>
      <c r="O6" s="41">
        <f t="shared" si="2"/>
        <v>2</v>
      </c>
    </row>
    <row r="7" spans="1:15" x14ac:dyDescent="0.25">
      <c r="A7" s="58" t="s">
        <v>52</v>
      </c>
      <c r="B7" s="6">
        <f>COUNTIFS('Самопроверка по школам'!E2:E131,"математика")</f>
        <v>8</v>
      </c>
      <c r="C7" s="6">
        <f>'Результативность по предметам'!M14</f>
        <v>1</v>
      </c>
      <c r="D7" s="11">
        <f t="shared" si="0"/>
        <v>0.125</v>
      </c>
      <c r="E7" s="6">
        <f>COUNTIFS('Самопроверка по школам'!J2:J131,"I",'Самопроверка по школам'!E2:E131,"математика")</f>
        <v>0</v>
      </c>
      <c r="F7" s="6">
        <f>COUNTIFS('Самопроверка по школам'!J2:J131,"II",'Самопроверка по школам'!E2:E131,"математика")</f>
        <v>0</v>
      </c>
      <c r="G7" s="6">
        <f>COUNTIFS('Самопроверка по школам'!J2:J131,"III",'Самопроверка по школам'!E2:E131,"математика")</f>
        <v>1</v>
      </c>
      <c r="H7" s="6">
        <f>COUNTIFS('Самопроверка по школам'!J2:J131,"п.л.",'Самопроверка по школам'!E2:E131,"математика")</f>
        <v>0</v>
      </c>
      <c r="I7" s="6">
        <f>COUNTIFS('Самопроверка по школам'!J2:J131,"I",'Самопроверка по школам'!E2:E131,"математика",'Самопроверка по школам'!F2:F131,8)+COUNTIFS('Самопроверка по школам'!J2:J131,"II",'Самопроверка по школам'!E2:E131,"математика",'Самопроверка по школам'!F2:F131,8)+COUNTIFS('Самопроверка по школам'!J2:J131,"III",'Самопроверка по школам'!E2:E131,"математика",'Самопроверка по школам'!F2:F131,8)</f>
        <v>0</v>
      </c>
      <c r="J7" s="6">
        <f>COUNTIFS('Самопроверка по школам'!J2:J131,"I",'Самопроверка по школам'!E2:E131,"математика",'Самопроверка по школам'!F2:F131,9)+COUNTIFS('Самопроверка по школам'!J2:J131,"II",'Самопроверка по школам'!E2:E131,"математика",'Самопроверка по школам'!F2:F131,9)+COUNTIFS('Самопроверка по школам'!J2:J131,"III",'Самопроверка по школам'!E2:E131,"математика",'Самопроверка по школам'!F2:F131,9)</f>
        <v>1</v>
      </c>
      <c r="K7" s="6">
        <f>COUNTIFS('Самопроверка по школам'!J2:J131,"I",'Самопроверка по школам'!E2:E131,"математика",'Самопроверка по школам'!F2:F131,10)+COUNTIFS('Самопроверка по школам'!J2:J131,"II",'Самопроверка по школам'!E2:E131,"математика",'Самопроверка по школам'!F2:F131,10)+COUNTIFS('Самопроверка по школам'!J2:J131,"III",'Самопроверка по школам'!E2:E131,"математика",'Самопроверка по школам'!F2:F131,10)</f>
        <v>0</v>
      </c>
      <c r="L7" s="6">
        <f>COUNTIFS('Самопроверка по школам'!J2:J131,"I",'Самопроверка по школам'!E2:E131,"математика",'Самопроверка по школам'!F2:F131,11)+COUNTIFS('Самопроверка по школам'!J2:J131,"II",'Самопроверка по школам'!E2:E131,"математика",'Самопроверка по школам'!F2:F131,11)+COUNTIFS('Самопроверка по школам'!J2:J131,"III",'Самопроверка по школам'!E2:E131,"математика",'Самопроверка по школам'!F2:F131,11)</f>
        <v>0</v>
      </c>
      <c r="M7" s="108"/>
      <c r="N7" s="41">
        <f t="shared" si="1"/>
        <v>1</v>
      </c>
      <c r="O7" s="41">
        <f t="shared" si="2"/>
        <v>1</v>
      </c>
    </row>
    <row r="8" spans="1:15" x14ac:dyDescent="0.25">
      <c r="A8" s="58" t="s">
        <v>53</v>
      </c>
      <c r="B8" s="6">
        <f>COUNTIFS('Самопроверка по школам'!E2:E131,"физика")</f>
        <v>2</v>
      </c>
      <c r="C8" s="6">
        <f>'Результативность по предметам'!S14</f>
        <v>0</v>
      </c>
      <c r="D8" s="11">
        <f t="shared" si="0"/>
        <v>0</v>
      </c>
      <c r="E8" s="6">
        <f>COUNTIFS('Самопроверка по школам'!J2:J131,"I",'Самопроверка по школам'!E2:E131,"физика")</f>
        <v>0</v>
      </c>
      <c r="F8" s="6">
        <f>COUNTIFS('Самопроверка по школам'!J2:J131,"II",'Самопроверка по школам'!E2:E131,"физика")</f>
        <v>0</v>
      </c>
      <c r="G8" s="6">
        <f>COUNTIFS('Самопроверка по школам'!J2:J131,"III",'Самопроверка по школам'!E2:E131,"физика")</f>
        <v>0</v>
      </c>
      <c r="H8" s="6">
        <f>COUNTIFS('Самопроверка по школам'!J2:J131,"п.л.",'Самопроверка по школам'!E2:E131,"физика")</f>
        <v>0</v>
      </c>
      <c r="I8" s="6">
        <f>COUNTIFS('Самопроверка по школам'!J2:J131,"I",'Самопроверка по школам'!E2:E131,"физика",'Самопроверка по школам'!F2:F131,8)+COUNTIFS('Самопроверка по школам'!J2:J131,"II",'Самопроверка по школам'!E2:E131,"физика",'Самопроверка по школам'!F2:F131,8)+COUNTIFS('Самопроверка по школам'!J2:J131,"III",'Самопроверка по школам'!E2:E131,"физика",'Самопроверка по школам'!F2:F131,8)</f>
        <v>0</v>
      </c>
      <c r="J8" s="6">
        <f>COUNTIFS('Самопроверка по школам'!J2:J131,"I",'Самопроверка по школам'!E2:E131,"физика",'Самопроверка по школам'!F2:F131,9)+COUNTIFS('Самопроверка по школам'!J2:J131,"II",'Самопроверка по школам'!E2:E131,"физика",'Самопроверка по школам'!F2:F131,9)+COUNTIFS('Самопроверка по школам'!J2:J131,"III",'Самопроверка по школам'!E2:E131,"физика",'Самопроверка по школам'!F2:F131,9)</f>
        <v>0</v>
      </c>
      <c r="K8" s="6">
        <f>COUNTIFS('Самопроверка по школам'!J2:J131,"I",'Самопроверка по школам'!E2:E131,"физика",'Самопроверка по школам'!F2:F131,10)+COUNTIFS('Самопроверка по школам'!J2:J131,"II",'Самопроверка по школам'!E2:E131,"физика",'Самопроверка по школам'!F2:F131,10)+COUNTIFS('Самопроверка по школам'!J2:J131,"III",'Самопроверка по школам'!E2:E131,"физика",'Самопроверка по школам'!F2:F131,10)</f>
        <v>0</v>
      </c>
      <c r="L8" s="6">
        <f>COUNTIFS('Самопроверка по школам'!J2:J131,"I",'Самопроверка по школам'!E2:E131,"физика",'Самопроверка по школам'!F2:F131,11)+COUNTIFS('Самопроверка по школам'!J2:J131,"II",'Самопроверка по школам'!E2:E131,"физика",'Самопроверка по школам'!F2:F131,11)+COUNTIFS('Самопроверка по школам'!J2:J131,"III",'Самопроверка по школам'!E2:E131,"физика",'Самопроверка по школам'!F2:F131,11)</f>
        <v>0</v>
      </c>
      <c r="M8" s="108"/>
      <c r="N8" s="41">
        <f t="shared" si="1"/>
        <v>0</v>
      </c>
      <c r="O8" s="41">
        <f t="shared" si="2"/>
        <v>0</v>
      </c>
    </row>
    <row r="9" spans="1:15" x14ac:dyDescent="0.25">
      <c r="A9" s="58" t="s">
        <v>54</v>
      </c>
      <c r="B9" s="6">
        <f>COUNTIFS('Самопроверка по школам'!E2:E131,"информатика")</f>
        <v>0</v>
      </c>
      <c r="C9" s="6">
        <f>'Результативность по предметам'!N14</f>
        <v>0</v>
      </c>
      <c r="D9" s="11" t="e">
        <f t="shared" si="0"/>
        <v>#DIV/0!</v>
      </c>
      <c r="E9" s="6">
        <f>COUNTIFS('Самопроверка по школам'!J2:J131,"I",'Самопроверка по школам'!E2:E131,"информатика")</f>
        <v>0</v>
      </c>
      <c r="F9" s="6">
        <f>COUNTIFS('Самопроверка по школам'!J2:J131,"II",'Самопроверка по школам'!E2:E131,"информатика")</f>
        <v>0</v>
      </c>
      <c r="G9" s="6">
        <f>COUNTIFS('Самопроверка по школам'!J2:J131,"III",'Самопроверка по школам'!E2:E131,"информатика")</f>
        <v>0</v>
      </c>
      <c r="H9" s="6">
        <f>COUNTIFS('Самопроверка по школам'!J2:J131,"п.л.",'Самопроверка по школам'!E2:E131,"информатика")</f>
        <v>0</v>
      </c>
      <c r="I9" s="6">
        <f>COUNTIFS('Самопроверка по школам'!J2:J131,"I",'Самопроверка по школам'!E2:E131,"информатика",'Самопроверка по школам'!F2:F131,8)+COUNTIFS('Самопроверка по школам'!J2:J131,"II",'Самопроверка по школам'!E2:E131,"информатика",'Самопроверка по школам'!F2:F131,8)+COUNTIFS('Самопроверка по школам'!J2:J131,"III",'Самопроверка по школам'!E2:E131,"информатика",'Самопроверка по школам'!F2:F131,8)</f>
        <v>0</v>
      </c>
      <c r="J9" s="6">
        <f>COUNTIFS('Самопроверка по школам'!J2:J131,"I",'Самопроверка по школам'!E2:E131,"информатика",'Самопроверка по школам'!F2:F131,9)+COUNTIFS('Самопроверка по школам'!J2:J131,"II",'Самопроверка по школам'!E2:E131,"информатика",'Самопроверка по школам'!F2:F131,9)+COUNTIFS('Самопроверка по школам'!J2:J131,"III",'Самопроверка по школам'!E2:E131,"информатика",'Самопроверка по школам'!F2:F131,9)</f>
        <v>0</v>
      </c>
      <c r="K9" s="6">
        <f>COUNTIFS('Самопроверка по школам'!J2:J131,"I",'Самопроверка по школам'!E2:E131,"информатика",'Самопроверка по школам'!F2:F131,10)+COUNTIFS('Самопроверка по школам'!J2:J131,"II",'Самопроверка по школам'!E2:E131,"информатика",'Самопроверка по школам'!F2:F131,10)+COUNTIFS('Самопроверка по школам'!J2:J131,"III",'Самопроверка по школам'!E2:E131,"информатика",'Самопроверка по школам'!F2:F131,10)</f>
        <v>0</v>
      </c>
      <c r="L9" s="6">
        <f>COUNTIFS('Самопроверка по школам'!J2:J131,"I",'Самопроверка по школам'!E2:E131,"информатика",'Самопроверка по школам'!F2:F131,11)+COUNTIFS('Самопроверка по школам'!J2:J131,"II",'Самопроверка по школам'!E2:E131,"информатика",'Самопроверка по школам'!F2:F131,11)+COUNTIFS('Самопроверка по школам'!J2:J131,"III",'Самопроверка по школам'!E2:E131,"информатика",'Самопроверка по школам'!F2:F131,11)</f>
        <v>0</v>
      </c>
      <c r="M9" s="108"/>
      <c r="N9" s="41">
        <f t="shared" si="1"/>
        <v>0</v>
      </c>
      <c r="O9" s="41">
        <f t="shared" si="2"/>
        <v>0</v>
      </c>
    </row>
    <row r="10" spans="1:15" x14ac:dyDescent="0.25">
      <c r="A10" s="58" t="s">
        <v>55</v>
      </c>
      <c r="B10" s="6">
        <f>COUNTIFS('Самопроверка по школам'!E2:E131,"астрономия")</f>
        <v>1</v>
      </c>
      <c r="C10" s="6">
        <f>'Результативность по предметам'!T14</f>
        <v>0</v>
      </c>
      <c r="D10" s="11">
        <f t="shared" si="0"/>
        <v>0</v>
      </c>
      <c r="E10" s="6">
        <f>COUNTIFS('Самопроверка по школам'!J2:J131,"I",'Самопроверка по школам'!E2:E131,"астрономия")</f>
        <v>0</v>
      </c>
      <c r="F10" s="6">
        <f>COUNTIFS('Самопроверка по школам'!J2:J131,"II",'Самопроверка по школам'!E2:E131,"астрономия")</f>
        <v>0</v>
      </c>
      <c r="G10" s="6">
        <f>COUNTIFS('Самопроверка по школам'!J2:J131,"III",'Самопроверка по школам'!E2:E131,"астрономия")</f>
        <v>0</v>
      </c>
      <c r="H10" s="6">
        <f>COUNTIFS('Самопроверка по школам'!J2:J131,"п.л.",'Самопроверка по школам'!E2:E131,"астрономия")</f>
        <v>0</v>
      </c>
      <c r="I10" s="6">
        <f>COUNTIFS('Самопроверка по школам'!J2:J131,"I",'Самопроверка по школам'!E2:E131,"астрономия",'Самопроверка по школам'!F2:F131,8)+COUNTIFS('Самопроверка по школам'!J2:J131,"II",'Самопроверка по школам'!E2:E131,"астрономия",'Самопроверка по школам'!F2:F131,8)+COUNTIFS('Самопроверка по школам'!J2:J131,"III",'Самопроверка по школам'!E2:E131,"астрономия",'Самопроверка по школам'!F2:F131,8)</f>
        <v>0</v>
      </c>
      <c r="J10" s="6">
        <f>COUNTIFS('Самопроверка по школам'!J2:J131,"I",'Самопроверка по школам'!E2:E131,"астрономия",'Самопроверка по школам'!F2:F131,9)+COUNTIFS('Самопроверка по школам'!J2:J131,"II",'Самопроверка по школам'!E2:E131,"астрономия",'Самопроверка по школам'!F2:F131,9)+COUNTIFS('Самопроверка по школам'!J2:J131,"III",'Самопроверка по школам'!E2:E131,"астрономия",'Самопроверка по школам'!F2:F131,9)</f>
        <v>0</v>
      </c>
      <c r="K10" s="6">
        <f>COUNTIFS('Самопроверка по школам'!J2:J131,"I",'Самопроверка по школам'!E2:E131,"астрономия",'Самопроверка по школам'!F2:F131,10)+COUNTIFS('Самопроверка по школам'!J2:J131,"II",'Самопроверка по школам'!E2:E131,"астрономия",'Самопроверка по школам'!F2:F131,10)+COUNTIFS('Самопроверка по школам'!J2:J131,"III",'Самопроверка по школам'!E2:E131,"астрономия",'Самопроверка по школам'!F2:F131,10)</f>
        <v>0</v>
      </c>
      <c r="L10" s="6">
        <f>COUNTIFS('Самопроверка по школам'!J2:J131,"I",'Самопроверка по школам'!E2:E131,"астрономия",'Самопроверка по школам'!F2:F131,11)+COUNTIFS('Самопроверка по школам'!J2:J131,"II",'Самопроверка по школам'!E2:E131,"астрономия",'Самопроверка по школам'!F2:F131,11)+COUNTIFS('Самопроверка по школам'!J2:J131,"III",'Самопроверка по школам'!E2:E131,"астрономия",'Самопроверка по школам'!F2:F131,11)</f>
        <v>0</v>
      </c>
      <c r="M10" s="108"/>
      <c r="N10" s="41">
        <f t="shared" si="1"/>
        <v>0</v>
      </c>
      <c r="O10" s="41">
        <f t="shared" si="2"/>
        <v>0</v>
      </c>
    </row>
    <row r="11" spans="1:15" x14ac:dyDescent="0.25">
      <c r="A11" s="58" t="s">
        <v>56</v>
      </c>
      <c r="B11" s="6">
        <f>COUNTIFS('Самопроверка по школам'!E2:E131,"биология")</f>
        <v>16</v>
      </c>
      <c r="C11" s="6">
        <f>'Результативность по предметам'!R14</f>
        <v>1</v>
      </c>
      <c r="D11" s="11">
        <f t="shared" si="0"/>
        <v>6.25E-2</v>
      </c>
      <c r="E11" s="6">
        <f>COUNTIFS('Самопроверка по школам'!J2:J131,"I",'Самопроверка по школам'!E2:E131,"биология")</f>
        <v>0</v>
      </c>
      <c r="F11" s="6">
        <f>COUNTIFS('Самопроверка по школам'!J2:J131,"II",'Самопроверка по школам'!E2:E131,"Биология")</f>
        <v>0</v>
      </c>
      <c r="G11" s="6">
        <f>COUNTIFS('Самопроверка по школам'!J2:J131,"III",'Самопроверка по школам'!E2:E131,"биология")</f>
        <v>1</v>
      </c>
      <c r="H11" s="6">
        <f>COUNTIFS('Самопроверка по школам'!J2:J131,"п.л.",'Самопроверка по школам'!E2:E131,"биология")</f>
        <v>7</v>
      </c>
      <c r="I11" s="6">
        <f>COUNTIFS('Самопроверка по школам'!J2:J131,"I",'Самопроверка по школам'!E2:E131,"биология",'Самопроверка по школам'!F2:F131,8)+COUNTIFS('Самопроверка по школам'!J2:J131,"II",'Самопроверка по школам'!E2:E131,"биология",'Самопроверка по школам'!F2:F131,8)+COUNTIFS('Самопроверка по школам'!J2:J131,"III",'Самопроверка по школам'!E2:E131,"биология",'Самопроверка по школам'!F2:F131,8)</f>
        <v>0</v>
      </c>
      <c r="J11" s="6">
        <f>COUNTIFS('Самопроверка по школам'!J2:J131,"I",'Самопроверка по школам'!E2:E131,"биология",'Самопроверка по школам'!F2:F131,9)+COUNTIFS('Самопроверка по школам'!J2:J131,"II",'Самопроверка по школам'!E2:E131,"биология",'Самопроверка по школам'!F2:F131,9)+COUNTIFS('Самопроверка по школам'!J2:J131,"III",'Самопроверка по школам'!E2:E131,"биология",'Самопроверка по школам'!F2:F131,9)</f>
        <v>0</v>
      </c>
      <c r="K11" s="6">
        <f>COUNTIFS('Самопроверка по школам'!J2:J131,"I",'Самопроверка по школам'!E2:E131,"биология",'Самопроверка по школам'!F2:F131,10)+COUNTIFS('Самопроверка по школам'!J2:J131,"II",'Самопроверка по школам'!E2:E131,"биология",'Самопроверка по школам'!F2:F131,10)+COUNTIFS('Самопроверка по школам'!J2:J131,"III",'Самопроверка по школам'!E2:E131,"биология",'Самопроверка по школам'!F2:F131,10)</f>
        <v>1</v>
      </c>
      <c r="L11" s="6">
        <f>COUNTIFS('Самопроверка по школам'!J2:J131,"I",'Самопроверка по школам'!E2:E131,"биология",'Самопроверка по школам'!F2:F131,11)+COUNTIFS('Самопроверка по школам'!J2:J131,"II",'Самопроверка по школам'!E2:E131,"биология",'Самопроверка по школам'!F2:F131,11)+COUNTIFS('Самопроверка по школам'!J2:J131,"III",'Самопроверка по школам'!E2:E131,"биология",'Самопроверка по школам'!F2:F131,11)</f>
        <v>0</v>
      </c>
      <c r="M11" s="108"/>
      <c r="N11" s="41">
        <f t="shared" si="1"/>
        <v>1</v>
      </c>
      <c r="O11" s="41">
        <f t="shared" si="2"/>
        <v>1</v>
      </c>
    </row>
    <row r="12" spans="1:15" x14ac:dyDescent="0.25">
      <c r="A12" s="58" t="s">
        <v>57</v>
      </c>
      <c r="B12" s="6">
        <f>COUNTIFS('Самопроверка по школам'!E2:E131,"химия")</f>
        <v>8</v>
      </c>
      <c r="C12" s="6">
        <f>'Результативность по предметам'!U14</f>
        <v>2</v>
      </c>
      <c r="D12" s="11">
        <f t="shared" si="0"/>
        <v>0.25</v>
      </c>
      <c r="E12" s="6">
        <f>COUNTIFS('Самопроверка по школам'!J2:J131,"I",'Самопроверка по школам'!E2:E131,"химия")</f>
        <v>2</v>
      </c>
      <c r="F12" s="6">
        <f>COUNTIFS('Самопроверка по школам'!J2:J131,"II",'Самопроверка по школам'!E2:E131,"химия")</f>
        <v>0</v>
      </c>
      <c r="G12" s="6">
        <f>COUNTIFS('Самопроверка по школам'!J2:J131,"III",'Самопроверка по школам'!E2:E131,"химия")</f>
        <v>0</v>
      </c>
      <c r="H12" s="6">
        <f>COUNTIFS('Самопроверка по школам'!J2:J131,"п.л.",'Самопроверка по школам'!E2:E131,"химия")</f>
        <v>2</v>
      </c>
      <c r="I12" s="6">
        <f>COUNTIFS('Самопроверка по школам'!J2:J131,"I",'Самопроверка по школам'!E2:E131,"химия",'Самопроверка по школам'!F2:F131,8)+COUNTIFS('Самопроверка по школам'!J2:J131,"II",'Самопроверка по школам'!E2:E131,"химия",'Самопроверка по школам'!F2:F131,8)+COUNTIFS('Самопроверка по школам'!J2:J131,"III",'Самопроверка по школам'!E2:E131,"химия",'Самопроверка по школам'!F2:F131,8)</f>
        <v>0</v>
      </c>
      <c r="J12" s="6">
        <f>COUNTIFS('Самопроверка по школам'!J2:J131,"I",'Самопроверка по школам'!E2:E131,"химия",'Самопроверка по школам'!F2:F131,9)+COUNTIFS('Самопроверка по школам'!J2:J131,"II",'Самопроверка по школам'!E2:E131,"химия",'Самопроверка по школам'!F2:F131,9)+COUNTIFS('Самопроверка по школам'!J2:J131,"III",'Самопроверка по школам'!E2:E131,"химия",'Самопроверка по школам'!F2:F131,9)</f>
        <v>1</v>
      </c>
      <c r="K12" s="6">
        <f>COUNTIFS('Самопроверка по школам'!J2:J131,"I",'Самопроверка по школам'!E2:E131,"химия",'Самопроверка по школам'!F2:F131,10)+COUNTIFS('Самопроверка по школам'!J2:J131,"II",'Самопроверка по школам'!E2:E131,"химия",'Самопроверка по школам'!F2:F131,10)+COUNTIFS('Самопроверка по школам'!J2:J131,"III",'Самопроверка по школам'!E2:E131,"химия",'Самопроверка по школам'!F2:F131,10)</f>
        <v>1</v>
      </c>
      <c r="L12" s="6">
        <f>COUNTIFS('Самопроверка по школам'!J2:J131,"I",'Самопроверка по школам'!E2:E131,"химия",'Самопроверка по школам'!F2:F131,11)+COUNTIFS('Самопроверка по школам'!J2:J131,"II",'Самопроверка по школам'!E2:E131,"химия",'Самопроверка по школам'!F2:F131,11)+COUNTIFS('Самопроверка по школам'!J2:J131,"III",'Самопроверка по школам'!E2:E131,"химия",'Самопроверка по школам'!F2:F131,11)</f>
        <v>0</v>
      </c>
      <c r="M12" s="108"/>
      <c r="N12" s="41">
        <f t="shared" si="1"/>
        <v>2</v>
      </c>
      <c r="O12" s="41">
        <f t="shared" si="2"/>
        <v>2</v>
      </c>
    </row>
    <row r="13" spans="1:15" x14ac:dyDescent="0.25">
      <c r="A13" s="58" t="s">
        <v>58</v>
      </c>
      <c r="B13" s="6">
        <f>COUNTIFS('Самопроверка по школам'!E2:E131,"география")</f>
        <v>10</v>
      </c>
      <c r="C13" s="6">
        <f>'Результативность по предметам'!Q14</f>
        <v>4</v>
      </c>
      <c r="D13" s="11">
        <f t="shared" si="0"/>
        <v>0.4</v>
      </c>
      <c r="E13" s="6">
        <f>COUNTIFS('Самопроверка по школам'!J2:J131,"I",'Самопроверка по школам'!E2:E131,"география")</f>
        <v>1</v>
      </c>
      <c r="F13" s="6">
        <f>COUNTIFS('Самопроверка по школам'!J2:J131,"II",'Самопроверка по школам'!E2:E131,"география")</f>
        <v>2</v>
      </c>
      <c r="G13" s="6">
        <f>COUNTIFS('Самопроверка по школам'!J2:J131,"III",'Самопроверка по школам'!E2:E131,"география")</f>
        <v>1</v>
      </c>
      <c r="H13" s="6">
        <f>COUNTIFS('Самопроверка по школам'!J2:J131,"п.л.",'Самопроверка по школам'!E2:E131,"география")</f>
        <v>2</v>
      </c>
      <c r="I13" s="6">
        <f>COUNTIFS('Самопроверка по школам'!J2:J131,"I",'Самопроверка по школам'!E2:E131,"география",'Самопроверка по школам'!F2:F131,8)+COUNTIFS('Самопроверка по школам'!J2:J131,"II",'Самопроверка по школам'!E2:E131,"география",'Самопроверка по школам'!F2:F131,8)+COUNTIFS('Самопроверка по школам'!J2:J131,"III",'Самопроверка по школам'!E2:E131,"география",'Самопроверка по школам'!F2:F131,8)</f>
        <v>0</v>
      </c>
      <c r="J13" s="6">
        <f>COUNTIFS('Самопроверка по школам'!J2:J131,"I",'Самопроверка по школам'!E2:E131,"география",'Самопроверка по школам'!F2:F131,9)+COUNTIFS('Самопроверка по школам'!J2:J131,"II",'Самопроверка по школам'!E2:E131,"география",'Самопроверка по школам'!F2:F131,9)+COUNTIFS('Самопроверка по школам'!J2:J131,"III",'Самопроверка по школам'!E2:E131,"география",'Самопроверка по школам'!F2:F131,9)</f>
        <v>1</v>
      </c>
      <c r="K13" s="6">
        <f>COUNTIFS('Самопроверка по школам'!J2:J131,"I",'Самопроверка по школам'!E2:E131,"география",'Самопроверка по школам'!F2:F131,10)+COUNTIFS('Самопроверка по школам'!J2:J131,"II",'Самопроверка по школам'!E2:E131,"география",'Самопроверка по школам'!F2:F131,10)+COUNTIFS('Самопроверка по школам'!J2:J131,"III",'Самопроверка по школам'!E2:E131,"география",'Самопроверка по школам'!F2:F131,10)</f>
        <v>1</v>
      </c>
      <c r="L13" s="6">
        <f>COUNTIFS('Самопроверка по школам'!J2:J131,"I",'Самопроверка по школам'!E2:E131,"география",'Самопроверка по школам'!F2:F131,11)+COUNTIFS('Самопроверка по школам'!J2:J131,"II",'Самопроверка по школам'!E2:E131,"география",'Самопроверка по школам'!F2:F131,11)+COUNTIFS('Самопроверка по школам'!J2:J131,"III",'Самопроверка по школам'!E2:E131,"география",'Самопроверка по школам'!F2:F131,11)</f>
        <v>2</v>
      </c>
      <c r="M13" s="108"/>
      <c r="N13" s="41">
        <f t="shared" si="1"/>
        <v>4</v>
      </c>
      <c r="O13" s="41">
        <f t="shared" si="2"/>
        <v>4</v>
      </c>
    </row>
    <row r="14" spans="1:15" x14ac:dyDescent="0.25">
      <c r="A14" s="58" t="s">
        <v>59</v>
      </c>
      <c r="B14" s="6">
        <f>COUNTIFS('Самопроверка по школам'!E2:E131,"история")</f>
        <v>8</v>
      </c>
      <c r="C14" s="6">
        <f>'Результативность по предметам'!O14</f>
        <v>2</v>
      </c>
      <c r="D14" s="11">
        <f t="shared" si="0"/>
        <v>0.25</v>
      </c>
      <c r="E14" s="6">
        <f>COUNTIFS('Самопроверка по школам'!J2:J131,"I",'Самопроверка по школам'!E2:E131,"история")</f>
        <v>0</v>
      </c>
      <c r="F14" s="6">
        <f>COUNTIFS('Самопроверка по школам'!J2:J131,"II",'Самопроверка по школам'!E2:E131,"история")</f>
        <v>0</v>
      </c>
      <c r="G14" s="6">
        <f>COUNTIFS('Самопроверка по школам'!J2:J131,"III",'Самопроверка по школам'!E2:E131,"история")</f>
        <v>2</v>
      </c>
      <c r="H14" s="6">
        <f>COUNTIFS('Самопроверка по школам'!J2:J131,"п.л.",'Самопроверка по школам'!E2:E131,"история")</f>
        <v>2</v>
      </c>
      <c r="I14" s="6">
        <f>COUNTIFS('Самопроверка по школам'!J2:J131,"I",'Самопроверка по школам'!E2:E131,"история",'Самопроверка по школам'!F2:F131,8)+COUNTIFS('Самопроверка по школам'!J2:J131,"II",'Самопроверка по школам'!E2:E131,"история",'Самопроверка по школам'!F2:F131,8)+COUNTIFS('Самопроверка по школам'!J2:J131,"III",'Самопроверка по школам'!E2:E131,"история",'Самопроверка по школам'!F2:F131,8)</f>
        <v>0</v>
      </c>
      <c r="J14" s="6">
        <f>COUNTIFS('Самопроверка по школам'!J2:J131,"I",'Самопроверка по школам'!E2:E131,"история",'Самопроверка по школам'!F2:F131,9)+COUNTIFS('Самопроверка по школам'!J2:J131,"II",'Самопроверка по школам'!E2:E131,"история",'Самопроверка по школам'!F2:F131,9)+COUNTIFS('Самопроверка по школам'!J2:J131,"III",'Самопроверка по школам'!E2:E131,"история",'Самопроверка по школам'!F2:F131,9)</f>
        <v>0</v>
      </c>
      <c r="K14" s="6">
        <f>COUNTIFS('Самопроверка по школам'!J2:J131,"I",'Самопроверка по школам'!E2:E131,"история",'Самопроверка по школам'!F2:F131,10)+COUNTIFS('Самопроверка по школам'!J2:J131,"II",'Самопроверка по школам'!E2:E131,"история",'Самопроверка по школам'!F2:F131,10)+COUNTIFS('Самопроверка по школам'!J2:J131,"III",'Самопроверка по школам'!E2:E131,"история",'Самопроверка по школам'!F2:F131,10)</f>
        <v>0</v>
      </c>
      <c r="L14" s="6">
        <f>COUNTIFS('Самопроверка по школам'!J2:J131,"I",'Самопроверка по школам'!E2:E131,"история",'Самопроверка по школам'!F2:F131,11)+COUNTIFS('Самопроверка по школам'!J2:J131,"II",'Самопроверка по школам'!E2:E131,"история",'Самопроверка по школам'!F2:F131,11)+COUNTIFS('Самопроверка по школам'!J2:J131,"III",'Самопроверка по школам'!E2:E131,"история",'Самопроверка по школам'!F2:F131,11)</f>
        <v>2</v>
      </c>
      <c r="M14" s="108"/>
      <c r="N14" s="41">
        <f t="shared" si="1"/>
        <v>2</v>
      </c>
      <c r="O14" s="41">
        <f t="shared" si="2"/>
        <v>2</v>
      </c>
    </row>
    <row r="15" spans="1:15" x14ac:dyDescent="0.25">
      <c r="A15" s="58" t="s">
        <v>60</v>
      </c>
      <c r="B15" s="6">
        <f>COUNTIFS('Самопроверка по школам'!E2:E131,"обществоведение")</f>
        <v>10</v>
      </c>
      <c r="C15" s="6">
        <f>'Результативность по предметам'!P14</f>
        <v>0</v>
      </c>
      <c r="D15" s="11">
        <f t="shared" si="0"/>
        <v>0</v>
      </c>
      <c r="E15" s="6">
        <f>COUNTIFS('Самопроверка по школам'!J2:J131,"I",'Самопроверка по школам'!E2:E131,"обществоведение")</f>
        <v>0</v>
      </c>
      <c r="F15" s="6">
        <f>COUNTIFS('Самопроверка по школам'!J2:J131,"II",'Самопроверка по школам'!E2:E131,"обществоведение")</f>
        <v>0</v>
      </c>
      <c r="G15" s="6">
        <f>COUNTIFS('Самопроверка по школам'!J2:J131,"III",'Самопроверка по школам'!E2:E131,"обществоведение")</f>
        <v>0</v>
      </c>
      <c r="H15" s="6">
        <f>COUNTIFS('Самопроверка по школам'!J2:J131,"п.л.",'Самопроверка по школам'!E2:E131,"обществоведение")</f>
        <v>3</v>
      </c>
      <c r="I15" s="6">
        <f>COUNTIFS('Самопроверка по школам'!J2:J131,"I",'Самопроверка по школам'!E2:E131,"обществоведение",'Самопроверка по школам'!F2:F131,8)+COUNTIFS('Самопроверка по школам'!J2:J131,"II",'Самопроверка по школам'!E2:E131,"обществоведение",'Самопроверка по школам'!F2:F131,8)+COUNTIFS('Самопроверка по школам'!J2:J131,"III",'Самопроверка по школам'!E2:E131,"обществоведение",'Самопроверка по школам'!F2:F131,8)</f>
        <v>0</v>
      </c>
      <c r="J15" s="6">
        <f>COUNTIFS('Самопроверка по школам'!J2:J131,"I",'Самопроверка по школам'!E2:E131,"обществоведение",'Самопроверка по школам'!F2:F131,9)+COUNTIFS('Самопроверка по школам'!J2:J131,"II",'Самопроверка по школам'!E2:E131,"обществоведение",'Самопроверка по школам'!F2:F131,9)+COUNTIFS('Самопроверка по школам'!J2:J131,"ΙΙΙ",'Самопроверка по школам'!E2:E131,"обществоведение",'Самопроверка по школам'!F2:F131,9)</f>
        <v>0</v>
      </c>
      <c r="K15" s="6">
        <f>COUNTIFS('Самопроверка по школам'!J2:J131,"I",'Самопроверка по школам'!E2:E131,"обществоведение",'Самопроверка по школам'!F2:F131,10)+COUNTIFS('Самопроверка по школам'!J2:J131,"II",'Самопроверка по школам'!E2:E131,"обществоведение",'Самопроверка по школам'!F2:F131,10)+COUNTIFS('Самопроверка по школам'!J2:J131,"III",'Самопроверка по школам'!E2:E131,"обществоведение",'Самопроверка по школам'!F2:F131,10)</f>
        <v>0</v>
      </c>
      <c r="L15" s="6">
        <f>COUNTIFS('Самопроверка по школам'!J2:J131,"I",'Самопроверка по школам'!E2:E131,"обществоведение",'Самопроверка по школам'!F2:F131,11)+COUNTIFS('Самопроверка по школам'!J2:J131,"II",'Самопроверка по школам'!E2:E131,"обществоведение",'Самопроверка по школам'!F2:F131,11)+COUNTIFS('Самопроверка по школам'!J2:J131,"III",'Самопроверка по школам'!E2:E131,"обществоведение",'Самопроверка по школам'!F2:F131,11)</f>
        <v>0</v>
      </c>
      <c r="M15" s="108"/>
      <c r="N15" s="41">
        <f t="shared" si="1"/>
        <v>0</v>
      </c>
      <c r="O15" s="41">
        <f t="shared" si="2"/>
        <v>0</v>
      </c>
    </row>
    <row r="16" spans="1:15" ht="24" customHeight="1" x14ac:dyDescent="0.25">
      <c r="A16" s="58" t="s">
        <v>90</v>
      </c>
      <c r="B16" s="6">
        <f>COUNTIFS('Самопроверка по школам'!E2:E131,"Труд обслуживающий")</f>
        <v>5</v>
      </c>
      <c r="C16" s="6">
        <f>'Результативность по предметам'!V14</f>
        <v>2</v>
      </c>
      <c r="D16" s="11">
        <f t="shared" si="0"/>
        <v>0.4</v>
      </c>
      <c r="E16" s="6">
        <f>COUNTIFS('Самопроверка по школам'!J2:J131,"I",'Самопроверка по школам'!E2:E131,"Труд обслуживающий")</f>
        <v>0</v>
      </c>
      <c r="F16" s="6">
        <f>COUNTIFS('Самопроверка по школам'!J2:J131,"II",'Самопроверка по школам'!E2:E131,"Труд обслуживающий")</f>
        <v>1</v>
      </c>
      <c r="G16" s="6">
        <f>COUNTIFS('Самопроверка по школам'!J2:J131,"III",'Самопроверка по школам'!E2:E131,"Труд обслуживающий")</f>
        <v>1</v>
      </c>
      <c r="H16" s="6">
        <f>COUNTIFS('Самопроверка по школам'!J2:J131,"п.л.",'Самопроверка по школам'!E2:E131,"Труд обслуживающий")</f>
        <v>1</v>
      </c>
      <c r="I16" s="6">
        <f>COUNTIFS('Самопроверка по школам'!J2:J131,"I",'Самопроверка по школам'!E2:E131,"Труд  технический",'Самопроверка по школам'!F2:F131,8)+COUNTIFS('Самопроверка по школам'!J2:J131,"II",'Самопроверка по школам'!E2:E131,"Труд  технический",'Самопроверка по школам'!F2:F131,8)+COUNTIFS('Самопроверка по школам'!J2:J131,"III",'Самопроверка по школам'!E2:E131,"Труд  технический",'Самопроверка по школам'!F2:F131,8)</f>
        <v>0</v>
      </c>
      <c r="J16" s="6">
        <f>COUNTIFS('Самопроверка по школам'!J2:J131,"I",'Самопроверка по школам'!E2:E131,"Труд обслуживающий",'Самопроверка по школам'!F2:F131,9)+COUNTIFS('Самопроверка по школам'!J2:J131,"II",'Самопроверка по школам'!E2:E131,"Труд обслуживающий",'Самопроверка по школам'!F2:F131,9)+COUNTIFS('Самопроверка по школам'!J2:J131,"III",'Самопроверка по школам'!E2:E131,"Труд обслуживающий",'Самопроверка по школам'!F2:F131,9)</f>
        <v>2</v>
      </c>
      <c r="K16" s="6">
        <f>COUNTIFS('Самопроверка по школам'!J2:J131,"I",'Самопроверка по школам'!E2:E131,"Труд обслуживающий",'Самопроверка по школам'!F2:F131,10)+COUNTIFS('Самопроверка по школам'!J2:J131,"II",'Самопроверка по школам'!E2:E131,"Труд обслуживающий",'Самопроверка по школам'!F2:F131,10)+COUNTIFS('Самопроверка по школам'!J2:J131,"III",'Самопроверка по школам'!E2:E131,"Труд обслуживающий",'Самопроверка по школам'!F2:F131,10)</f>
        <v>0</v>
      </c>
      <c r="L16" s="6">
        <f>COUNTIFS('Самопроверка по школам'!J2:J131,"I",'Самопроверка по школам'!E2:E131,"Труд обслуживающий",'Самопроверка по школам'!F2:F131,11)+COUNTIFS('Самопроверка по школам'!J2:J131,"II",'Самопроверка по школам'!E2:E131,"Труд обслуживающий",'Самопроверка по школам'!F2:F131,11)+COUNTIFS('Самопроверка по школам'!J2:J131,"III",'Самопроверка по школам'!E2:E131,"Труд обслуживающий",'Самопроверка по школам'!F2:F131,11)</f>
        <v>0</v>
      </c>
      <c r="M16" s="108"/>
      <c r="N16" s="41">
        <f t="shared" si="1"/>
        <v>2</v>
      </c>
      <c r="O16" s="41">
        <f t="shared" si="2"/>
        <v>2</v>
      </c>
    </row>
    <row r="17" spans="1:15" x14ac:dyDescent="0.25">
      <c r="A17" s="58" t="s">
        <v>91</v>
      </c>
      <c r="B17" s="6">
        <f>COUNTIFS('Самопроверка по школам'!E3:E131,"Труд  технический")</f>
        <v>8</v>
      </c>
      <c r="C17" s="6">
        <f>'Результативность по предметам'!W14</f>
        <v>3</v>
      </c>
      <c r="D17" s="11">
        <f t="shared" si="0"/>
        <v>0.375</v>
      </c>
      <c r="E17" s="6">
        <f>COUNTIFS('Самопроверка по школам'!J2:J131,"I",'Самопроверка по школам'!E2:E131,"Труд  технический")</f>
        <v>1</v>
      </c>
      <c r="F17" s="6">
        <f>COUNTIFS('Самопроверка по школам'!J2:J131,"II",'Самопроверка по школам'!E2:E131,"Труд  технический")</f>
        <v>1</v>
      </c>
      <c r="G17" s="6">
        <f>COUNTIFS('Самопроверка по школам'!J2:J131,"III",'Самопроверка по школам'!E2:E131,"Труд  технический")</f>
        <v>1</v>
      </c>
      <c r="H17" s="6">
        <f>COUNTIFS('Самопроверка по школам'!J2:J131,"п.л.",'Самопроверка по школам'!E2:E131,"Труд  технический")</f>
        <v>1</v>
      </c>
      <c r="I17" s="6">
        <f>COUNTIFS('Самопроверка по школам'!J2:J131,"I",'Самопроверка по школам'!E2:E131,"Труд  технический",'Самопроверка по школам'!F2:F131,8)+COUNTIFS('Самопроверка по школам'!J2:J131,"II",'Самопроверка по школам'!E2:E131,"Труд  технический",'Самопроверка по школам'!F2:F131,8)+COUNTIFS('Самопроверка по школам'!J2:J131,"III",'Самопроверка по школам'!E2:E131,"Труд  технический",'Самопроверка по школам'!F2:F131,8)</f>
        <v>0</v>
      </c>
      <c r="J17" s="6">
        <f>COUNTIFS('Самопроверка по школам'!J2:J131,"I",'Самопроверка по школам'!E2:E131,"Труд  технический",'Самопроверка по школам'!F2:F131,9)+COUNTIFS('Самопроверка по школам'!J2:J131,"II",'Самопроверка по школам'!E2:E131,"Труд  технический",'Самопроверка по школам'!F2:F131,9)+COUNTIFS('Самопроверка по школам'!J2:J131,"III",'Самопроверка по школам'!E2:E131,"Труд  технический",'Самопроверка по школам'!F2:F131,9)</f>
        <v>1</v>
      </c>
      <c r="K17" s="6">
        <f>COUNTIFS('Самопроверка по школам'!J2:J131,"I",'Самопроверка по школам'!E2:E131,"Труд  технический",'Самопроверка по школам'!F2:F131,10)+COUNTIFS('Самопроверка по школам'!J2:J131,"II",'Самопроверка по школам'!E2:E131,"Труд  технический",'Самопроверка по школам'!F2:F131,10)+COUNTIFS('Самопроверка по школам'!J2:J131,"III",'Самопроверка по школам'!E2:E131,"Труд  технический",'Самопроверка по школам'!F2:F131,10)</f>
        <v>2</v>
      </c>
      <c r="L17" s="6">
        <f>COUNTIFS('Самопроверка по школам'!J2:J131,"I",'Самопроверка по школам'!E2:E131,"Труд  технический",'Самопроверка по школам'!F2:F131,11)+COUNTIFS('Самопроверка по школам'!J2:J131,"II",'Самопроверка по школам'!E2:E131,"Труд  технический",'Самопроверка по школам'!F2:F131,11)+COUNTIFS('Самопроверка по школам'!J2:J131,"III",'Самопроверка по школам'!E2:E131,"Труд  технический",'Самопроверка по школам'!F2:F131,11)</f>
        <v>0</v>
      </c>
      <c r="M17" s="108"/>
      <c r="N17" s="41">
        <f t="shared" si="1"/>
        <v>3</v>
      </c>
      <c r="O17" s="41">
        <f t="shared" si="2"/>
        <v>3</v>
      </c>
    </row>
    <row r="18" spans="1:15" ht="30" x14ac:dyDescent="0.25">
      <c r="A18" s="58" t="s">
        <v>84</v>
      </c>
      <c r="B18" s="6">
        <f>COUNTIFS('Самопроверка по школам'!E3:E131,"физическая культура и здоровье")</f>
        <v>16</v>
      </c>
      <c r="C18" s="6">
        <f>'Результативность по предметам'!X14</f>
        <v>7</v>
      </c>
      <c r="D18" s="11">
        <f t="shared" ref="D18:D19" si="3">C18/B18</f>
        <v>0.4375</v>
      </c>
      <c r="E18" s="6">
        <f>COUNTIFS('Самопроверка по школам'!J3:J131,"I",'Самопроверка по школам'!E3:E131,"физическая культура и здоровье")</f>
        <v>2</v>
      </c>
      <c r="F18" s="6">
        <f>COUNTIFS('Самопроверка по школам'!J3:J131,"II",'Самопроверка по школам'!E3:E131,"физическая культура и здоровье")</f>
        <v>3</v>
      </c>
      <c r="G18" s="6">
        <f>COUNTIFS('Самопроверка по школам'!J3:J131,"III",'Самопроверка по школам'!E3:E131,"физическая культура и здоровье")</f>
        <v>2</v>
      </c>
      <c r="H18" s="6">
        <f>COUNTIFS('Самопроверка по школам'!J3:J131,"п.л.",'Самопроверка по школам'!E3:E131,"физическая культура и здоровье")</f>
        <v>9</v>
      </c>
      <c r="I18" s="6">
        <f>COUNTIFS('Самопроверка по школам'!J3:J131,"I",'Самопроверка по школам'!E3:E131,"физическая культура и здоровье",'Самопроверка по школам'!F3:F131,8)+COUNTIFS('Самопроверка по школам'!J3:J131,"II",'Самопроверка по школам'!E3:E131,"физическая культура и здоровье",'Самопроверка по школам'!F3:F131,8)+COUNTIFS('Самопроверка по школам'!J3:J131,"III",'Самопроверка по школам'!E3:E131,"физическая культура и здоровье",'Самопроверка по школам'!F3:F131,8)</f>
        <v>0</v>
      </c>
      <c r="J18" s="6">
        <f>COUNTIFS('Самопроверка по школам'!J3:J131,"I",'Самопроверка по школам'!E3:E131,"физическая культура и здоровье",'Самопроверка по школам'!F3:F131,9)+COUNTIFS('Самопроверка по школам'!J3:J131,"II",'Самопроверка по школам'!E3:E131,"физическая культура и здоровье",'Самопроверка по школам'!F3:F131,9)+COUNTIFS('Самопроверка по школам'!J3:J131,"III",'Самопроверка по школам'!E3:E131,"физическая культура и здоровье",'Самопроверка по школам'!F3:F131,9)</f>
        <v>1</v>
      </c>
      <c r="K18" s="6">
        <f>COUNTIFS('Самопроверка по школам'!J3:J131,"I",'Самопроверка по школам'!E3:E131,"физическая культура и здоровье",'Самопроверка по школам'!F3:F131,10)+COUNTIFS('Самопроверка по школам'!J3:J131,"II",'Самопроверка по школам'!E3:E131,"физическая культура и здоровье",'Самопроверка по школам'!F3:F131,10)+COUNTIFS('Самопроверка по школам'!J3:J131,"III",'Самопроверка по школам'!E3:E131,"физическая культура и здоровье",'Самопроверка по школам'!F3:F131,10)</f>
        <v>1</v>
      </c>
      <c r="L18" s="6">
        <f>COUNTIFS('Самопроверка по школам'!J3:J131,"I",'Самопроверка по школам'!E3:E131,"физическая культура и здоровье",'Самопроверка по школам'!F3:F131,11)+COUNTIFS('Самопроверка по школам'!J3:J131,"II",'Самопроверка по школам'!E3:E131,"физическая культура и здоровье",'Самопроверка по школам'!F3:F131,11)+COUNTIFS('Самопроверка по школам'!J3:J131,"III",'Самопроверка по школам'!E3:E131,"физическая культура и здоровье",'Самопроверка по школам'!F3:F131,11)</f>
        <v>5</v>
      </c>
      <c r="M18" s="108"/>
      <c r="N18" s="41">
        <f>SUM(E18:G18)</f>
        <v>7</v>
      </c>
      <c r="O18" s="41">
        <f t="shared" si="2"/>
        <v>7</v>
      </c>
    </row>
    <row r="19" spans="1:15" x14ac:dyDescent="0.25">
      <c r="A19" s="58" t="s">
        <v>61</v>
      </c>
      <c r="B19" s="85">
        <f>SUM(B4:B18)</f>
        <v>123</v>
      </c>
      <c r="C19" s="86">
        <f t="shared" ref="C19:L19" si="4">SUM(C4:C18)</f>
        <v>31</v>
      </c>
      <c r="D19" s="87">
        <f t="shared" si="3"/>
        <v>0.25203252032520324</v>
      </c>
      <c r="E19" s="88">
        <f t="shared" si="4"/>
        <v>8</v>
      </c>
      <c r="F19" s="88">
        <f t="shared" si="4"/>
        <v>8</v>
      </c>
      <c r="G19" s="88">
        <f t="shared" si="4"/>
        <v>15</v>
      </c>
      <c r="H19" s="89">
        <f t="shared" si="4"/>
        <v>38</v>
      </c>
      <c r="I19" s="90">
        <f t="shared" si="4"/>
        <v>0</v>
      </c>
      <c r="J19" s="90">
        <f t="shared" si="4"/>
        <v>10</v>
      </c>
      <c r="K19" s="90">
        <f t="shared" si="4"/>
        <v>10</v>
      </c>
      <c r="L19" s="90">
        <f t="shared" si="4"/>
        <v>11</v>
      </c>
      <c r="M19" s="108"/>
      <c r="N19" s="91">
        <f>SUM(E19:G19)</f>
        <v>31</v>
      </c>
      <c r="O19" s="91">
        <f>SUM(O4:O18)</f>
        <v>31</v>
      </c>
    </row>
    <row r="20" spans="1:15" x14ac:dyDescent="0.25">
      <c r="M20" s="108"/>
    </row>
    <row r="21" spans="1:15" x14ac:dyDescent="0.25">
      <c r="M21" s="108"/>
    </row>
    <row r="22" spans="1:15" x14ac:dyDescent="0.25">
      <c r="E22" s="41"/>
    </row>
  </sheetData>
  <mergeCells count="13">
    <mergeCell ref="I2:I3"/>
    <mergeCell ref="J2:J3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2"/>
  <sheetViews>
    <sheetView workbookViewId="0">
      <selection activeCell="C3" sqref="C3"/>
    </sheetView>
  </sheetViews>
  <sheetFormatPr defaultRowHeight="15" x14ac:dyDescent="0.25"/>
  <cols>
    <col min="1" max="1" width="5.42578125" style="36" customWidth="1"/>
    <col min="2" max="2" width="28.140625" style="36" customWidth="1"/>
    <col min="3" max="4" width="7.140625" style="36" customWidth="1"/>
    <col min="5" max="5" width="6.28515625" style="36" customWidth="1"/>
    <col min="6" max="6" width="6.42578125" style="36" customWidth="1"/>
    <col min="7" max="7" width="4.85546875" style="36" customWidth="1"/>
    <col min="8" max="8" width="5" style="36" customWidth="1"/>
    <col min="9" max="9" width="5.42578125" style="36" customWidth="1"/>
    <col min="10" max="10" width="6.140625" style="36" customWidth="1"/>
    <col min="11" max="11" width="6" style="36" customWidth="1"/>
    <col min="12" max="12" width="5.42578125" style="36" customWidth="1"/>
    <col min="13" max="13" width="6.7109375" style="36" customWidth="1"/>
    <col min="14" max="14" width="6.28515625" style="36" customWidth="1"/>
    <col min="15" max="15" width="5.5703125" style="36" customWidth="1"/>
    <col min="16" max="17" width="5.42578125" style="36" customWidth="1"/>
    <col min="18" max="18" width="5.140625" style="36" customWidth="1"/>
    <col min="19" max="16384" width="9.140625" style="36"/>
  </cols>
  <sheetData>
    <row r="1" spans="1:22" ht="147" customHeight="1" x14ac:dyDescent="0.25">
      <c r="A1" s="252" t="s">
        <v>284</v>
      </c>
      <c r="B1" s="253"/>
      <c r="C1" s="254"/>
      <c r="D1" s="263" t="s">
        <v>25</v>
      </c>
      <c r="E1" s="265" t="s">
        <v>26</v>
      </c>
      <c r="F1" s="267" t="s">
        <v>27</v>
      </c>
      <c r="G1" s="269" t="s">
        <v>28</v>
      </c>
      <c r="H1" s="271" t="s">
        <v>29</v>
      </c>
      <c r="I1" s="259" t="s">
        <v>30</v>
      </c>
      <c r="J1" s="255" t="s">
        <v>31</v>
      </c>
      <c r="K1" s="257" t="s">
        <v>32</v>
      </c>
      <c r="L1" s="259" t="s">
        <v>33</v>
      </c>
      <c r="M1" s="261" t="s">
        <v>37</v>
      </c>
      <c r="N1" s="267" t="s">
        <v>38</v>
      </c>
      <c r="O1" s="277" t="s">
        <v>39</v>
      </c>
      <c r="P1" s="261" t="s">
        <v>40</v>
      </c>
      <c r="Q1" s="271" t="s">
        <v>90</v>
      </c>
      <c r="R1" s="275" t="s">
        <v>91</v>
      </c>
      <c r="S1" s="273" t="s">
        <v>85</v>
      </c>
    </row>
    <row r="2" spans="1:22" ht="43.5" customHeight="1" x14ac:dyDescent="0.25">
      <c r="A2" s="43" t="s">
        <v>18</v>
      </c>
      <c r="B2" s="44" t="s">
        <v>1</v>
      </c>
      <c r="C2" s="45" t="s">
        <v>20</v>
      </c>
      <c r="D2" s="264"/>
      <c r="E2" s="266"/>
      <c r="F2" s="268"/>
      <c r="G2" s="270"/>
      <c r="H2" s="272"/>
      <c r="I2" s="260"/>
      <c r="J2" s="256"/>
      <c r="K2" s="258"/>
      <c r="L2" s="260"/>
      <c r="M2" s="262"/>
      <c r="N2" s="268"/>
      <c r="O2" s="278"/>
      <c r="P2" s="262"/>
      <c r="Q2" s="272"/>
      <c r="R2" s="276"/>
      <c r="S2" s="274"/>
    </row>
    <row r="3" spans="1:22" ht="18.75" x14ac:dyDescent="0.25">
      <c r="A3" s="1">
        <v>1</v>
      </c>
      <c r="B3" s="4" t="s">
        <v>12</v>
      </c>
      <c r="C3" s="61">
        <f>COUNTIFS('Самопроверка по школам'!J2:J131,"п.л.",'Самопроверка по школам'!D2:D131,"СШ №1 г.Сенно")</f>
        <v>13</v>
      </c>
      <c r="D3" s="8">
        <f>COUNTIFS('Самопроверка по школам'!$D$2:$D$131,"СШ №1 г.Сенно",'Самопроверка по школам'!$E$2:$E$131,"бел.яз и лит.",'Самопроверка по школам'!$J$2:$J$131,"п.л.")</f>
        <v>3</v>
      </c>
      <c r="E3" s="8">
        <f>COUNTIFS('Самопроверка по школам'!$D$2:$D$131,"СШ №1 г.Сенно",'Самопроверка по школам'!$E$2:$E$131,"Русский язык и литература",'Самопроверка по школам'!$J$2:$J$131,"п.л.")</f>
        <v>2</v>
      </c>
      <c r="F3" s="8">
        <f>COUNTIFS('Самопроверка по школам'!$J$2:$J$131,"п.л.",'Самопроверка по школам'!$E$2:$E$131,"Английский язык",'Самопроверка по школам'!$D$2:$D$131,"СШ №1 г.Сенно")</f>
        <v>1</v>
      </c>
      <c r="G3" s="8">
        <f>COUNTIFS('Самопроверка по школам'!$J$2:$J$131,"п.л.",'Самопроверка по школам'!$E$2:$E$131,"нем.яз",'Самопроверка по школам'!$D$2:$D$131,"СШ №1 г.Сенно")</f>
        <v>0</v>
      </c>
      <c r="H3" s="8">
        <f>COUNTIFS('Самопроверка по школам'!$D$2:$D$131,"СШ №1 г.Сенно",'Самопроверка по школам'!$E$2:$E$131,"математика",'Самопроверка по школам'!$J$2:$J$131,"п.л.")</f>
        <v>0</v>
      </c>
      <c r="I3" s="8">
        <f>COUNTIFS('Самопроверка по школам'!$D$2:$D$131,"СШ №1 г.Сенно",'Самопроверка по школам'!$E$2:$E$131,"информатика",'Самопроверка по школам'!$J$2:$J$131,"п.л.")</f>
        <v>0</v>
      </c>
      <c r="J3" s="8">
        <f>COUNTIFS('Самопроверка по школам'!$D$2:$D$131,"СШ №1 г.Сенно",'Самопроверка по школам'!$E$2:$E$131,"история",'Самопроверка по школам'!$J$2:$J$131,"п.л.")</f>
        <v>1</v>
      </c>
      <c r="K3" s="8">
        <f>COUNTIFS('Самопроверка по школам'!$D$2:$D$131,"СШ №1 г.Сенно",'Самопроверка по школам'!$E$2:$E$131,"обществоведение",'Самопроверка по школам'!$J$2:$J$131,"п.л.")</f>
        <v>2</v>
      </c>
      <c r="L3" s="8">
        <f>COUNTIFS('Самопроверка по школам'!$D$2:$D$131,"СШ №1 г.Сенно",'Самопроверка по школам'!$E$2:$E$131,"география",'Самопроверка по школам'!$J$2:$J$131,"п.л.")</f>
        <v>0</v>
      </c>
      <c r="M3" s="8">
        <f>COUNTIFS('Самопроверка по школам'!$J$2:$J$131,"п.л.",'Самопроверка по школам'!$E$2:$E$131,"Биология",'Самопроверка по школам'!$D$2:$D$131,"СШ №1 г.Сенно")</f>
        <v>3</v>
      </c>
      <c r="N3" s="8">
        <f>COUNTIFS('Самопроверка по школам'!$D$2:$D$131,"СШ №1 г.Сенно",'Самопроверка по школам'!$E$2:$E$131,"физика",'Самопроверка по школам'!$J$2:$J$131,"п.л.")</f>
        <v>0</v>
      </c>
      <c r="O3" s="8">
        <f>COUNTIFS('Самопроверка по школам'!$J$2:$J$131,"п.л.",'Самопроверка по школам'!$E$2:$E$131,"астрономия",'Самопроверка по школам'!$D$2:$D$131,"СШ №1 г.Сенно")</f>
        <v>0</v>
      </c>
      <c r="P3" s="8">
        <f>COUNTIFS('Самопроверка по школам'!$J$2:$J$131,"п.л.",'Самопроверка по школам'!$E$2:$E$131,"химия",'Самопроверка по школам'!$D$2:$D$131,"СШ №1 г.Сенно")</f>
        <v>1</v>
      </c>
      <c r="Q3" s="8">
        <f>COUNTIFS('Самопроверка по школам'!$J$2:$J$131,"п.л.",'Самопроверка по школам'!$E$2:$E$131,"Труд обслуживающий",'Самопроверка по школам'!$D$2:$D$131,"СШ №1 г.Сенно")</f>
        <v>0</v>
      </c>
      <c r="R3" s="8">
        <f>COUNTIFS('Самопроверка по школам'!$J$2:$J$131,"п.л.",'Самопроверка по школам'!$E$2:$E$131,"Труд  технический",'Самопроверка по школам'!$D$2:$D$131,"СШ №1 г.Сенно")</f>
        <v>0</v>
      </c>
      <c r="S3" s="8">
        <f>COUNTIFS('Самопроверка по школам'!$J$2:$J$131,"п.л.",'Самопроверка по школам'!$E$2:$E$131,"физическая культура и здоровье",'Самопроверка по школам'!$D$2:$D$131,"СШ №1 г.Сенно")</f>
        <v>0</v>
      </c>
      <c r="T3" s="46"/>
      <c r="V3" s="46"/>
    </row>
    <row r="4" spans="1:22" ht="18.75" x14ac:dyDescent="0.25">
      <c r="A4" s="1">
        <v>2</v>
      </c>
      <c r="B4" s="2" t="s">
        <v>21</v>
      </c>
      <c r="C4" s="61">
        <f>COUNTIFS('Самопроверка по школам'!J2:J131,"п.л.",'Самопроверка по школам'!D2:D131,"СШ №2г.Сенно")</f>
        <v>6</v>
      </c>
      <c r="D4" s="8">
        <f>COUNTIFS('Самопроверка по школам'!$D$2:$D$131,"СШ №2г.Сенно",'Самопроверка по школам'!$E$2:$E$131,"бел.яз и лит.",'Самопроверка по школам'!$J$2:$J$131,"п.л.")</f>
        <v>0</v>
      </c>
      <c r="E4" s="8">
        <f>COUNTIFS('Самопроверка по школам'!$D$2:$D$131,"СШ №2г.Сенно",'Самопроверка по школам'!$E$2:$E$131,"Русский язык и литература",'Самопроверка по школам'!$J$2:$J$131,"п.л.")</f>
        <v>0</v>
      </c>
      <c r="F4" s="8">
        <f>COUNTIFS('Самопроверка по школам'!$J$2:$J$131,"п.л.",'Самопроверка по школам'!$E$2:$E$131,"Английский язык",'Самопроверка по школам'!$D$2:$D$131,"СШ №2г.Сенно")</f>
        <v>0</v>
      </c>
      <c r="G4" s="8">
        <f>COUNTIFS('Самопроверка по школам'!$J$2:$J$131,"п.л.",'Самопроверка по школам'!$E$2:$E$131,"нем.яз",'Самопроверка по школам'!$D$2:$D$131,"СШ №2г.Сенно")</f>
        <v>0</v>
      </c>
      <c r="H4" s="8">
        <f>COUNTIFS('Самопроверка по школам'!$D$2:$D$131,"СШ №2г.Сенно",'Самопроверка по школам'!$E$2:$E$131,"математика",'Самопроверка по школам'!$J$2:$J$131,"п.л.")</f>
        <v>0</v>
      </c>
      <c r="I4" s="8">
        <f>COUNTIFS('Самопроверка по школам'!$D$2:$D$131,"СШ №2г.Сенно",'Самопроверка по школам'!$E$2:$E$131,"информатика",'Самопроверка по школам'!$J$2:$J$131,"п.л.")</f>
        <v>0</v>
      </c>
      <c r="J4" s="8">
        <f>COUNTIFS('Самопроверка по школам'!$D$2:$D$131,"СШ №2г.Сенно",'Самопроверка по школам'!$E$2:$E$131,"история",'Самопроверка по школам'!$J$2:$J$131,"п.л.")</f>
        <v>0</v>
      </c>
      <c r="K4" s="8">
        <f>COUNTIFS('Самопроверка по школам'!$D$2:$D$131,"СШ №2г.Сенно",'Самопроверка по школам'!$E$2:$E$131,"обществоведение",'Самопроверка по школам'!$J$2:$J$131,"п.л.")</f>
        <v>0</v>
      </c>
      <c r="L4" s="8">
        <f>COUNTIFS('Самопроверка по школам'!$D$2:$D$131,"СШ №2г.Сенно",'Самопроверка по школам'!$E$2:$E$131,"география",'Самопроверка по школам'!$J$2:$J$131,"п.л.")</f>
        <v>1</v>
      </c>
      <c r="M4" s="8">
        <f>COUNTIFS('Самопроверка по школам'!$J$2:$J$131,"п.л.",'Самопроверка по школам'!$E$2:$E$131,"Биология",'Самопроверка по школам'!$D$2:$D$131,"СШ №2г.Сенно")</f>
        <v>1</v>
      </c>
      <c r="N4" s="8">
        <f>COUNTIFS('Самопроверка по школам'!$D$2:$D$131,"СШ №2г.Сенно",'Самопроверка по школам'!$E$2:$E$131,"физика",'Самопроверка по школам'!$J$2:$J$131,"п.л.")</f>
        <v>0</v>
      </c>
      <c r="O4" s="8">
        <f>COUNTIFS('Самопроверка по школам'!$J$2:$J$131,"п.л.",'Самопроверка по школам'!$E$2:$E$131,"астрономия",'Самопроверка по школам'!$D$2:$D$131,"СШ №2г.Сенно")</f>
        <v>0</v>
      </c>
      <c r="P4" s="8">
        <f>COUNTIFS('Самопроверка по школам'!$J$2:$J$131,"п.л.",'Самопроверка по школам'!$E$2:$E$131,"химия",'Самопроверка по школам'!$D$2:$D$131,"СШ №2г.Сенно")</f>
        <v>0</v>
      </c>
      <c r="Q4" s="8">
        <f>COUNTIFS('Самопроверка по школам'!$J$2:$J$131,"п.л.",'Самопроверка по школам'!$E$2:$E$131,"Труд обслуживающий",'Самопроверка по школам'!$D$2:$D$131,"СШ №2г.Сенно")</f>
        <v>0</v>
      </c>
      <c r="R4" s="8">
        <f>COUNTIFS('Самопроверка по школам'!$J$2:$J$131,"п.л.",'Самопроверка по школам'!$E$2:$E$131,"Труд  технический",'Самопроверка по школам'!$D$2:$D$131,"СШ №2г.Сенно")</f>
        <v>1</v>
      </c>
      <c r="S4" s="8">
        <f>COUNTIFS('Самопроверка по школам'!$J$2:$J$131,"п.л.",'Самопроверка по школам'!$E$2:$E$131,"физическая культура и здоровье",'Самопроверка по школам'!$D$2:$D$131,"СШ №2г.Сенно")</f>
        <v>3</v>
      </c>
      <c r="T4" s="46"/>
      <c r="V4" s="46"/>
    </row>
    <row r="5" spans="1:22" ht="18.75" x14ac:dyDescent="0.25">
      <c r="A5" s="60">
        <v>3</v>
      </c>
      <c r="B5" s="4" t="s">
        <v>87</v>
      </c>
      <c r="C5" s="61">
        <f>COUNTIFS('Самопроверка по школам'!J2:J131,"п.л.",'Самопроверка по школам'!D2:D131,"Богушевская СШ")</f>
        <v>11</v>
      </c>
      <c r="D5" s="8">
        <f>COUNTIFS('Самопроверка по школам'!$D$2:$D$131,"Богушевская СШ",'Самопроверка по школам'!$E$2:$E$131,"бел.яз и лит.",'Самопроверка по школам'!$J$2:$J$131,"п.л.")</f>
        <v>1</v>
      </c>
      <c r="E5" s="8">
        <f>COUNTIFS('Самопроверка по школам'!$D$2:$D$131,"Богушевская СШ",'Самопроверка по школам'!$E$2:$E$131,"Русский язык и литература",'Самопроверка по школам'!$J$2:$J$131,"п.л.")</f>
        <v>0</v>
      </c>
      <c r="F5" s="8">
        <f>COUNTIFS('Самопроверка по школам'!$J$2:$J$131,"п.л.",'Самопроверка по школам'!$E$2:$E$131,"Английский язык",'Самопроверка по школам'!$D$2:$D$131,"Богушевская СШ")</f>
        <v>3</v>
      </c>
      <c r="G5" s="8">
        <f>COUNTIFS('Самопроверка по школам'!$J$2:$J$131,"п.л.",'Самопроверка по школам'!$E$2:$E$131,"нем.яз",'Самопроверка по школам'!$D$2:$D$131,"Богушевская СШ")</f>
        <v>0</v>
      </c>
      <c r="H5" s="8">
        <f>COUNTIFS('Самопроверка по школам'!$D$2:$D$131,"Богушевская СШ",'Самопроверка по школам'!$E$2:$E$131,"математика",'Самопроверка по школам'!$J$2:$J$131,"п.л.")</f>
        <v>0</v>
      </c>
      <c r="I5" s="8">
        <f>COUNTIFS('Самопроверка по школам'!$D$2:$D$131,"Богушевская СШ",'Самопроверка по школам'!$E$2:$E$131,"информатика",'Самопроверка по школам'!$J$2:$J$131,"п.л.")</f>
        <v>0</v>
      </c>
      <c r="J5" s="8">
        <f>COUNTIFS('Самопроверка по школам'!$D$2:$D$131,"Богушевская СШ",'Самопроверка по школам'!$E$2:$E$131,"история",'Самопроверка по школам'!$J$2:$J$131,"п.л.")</f>
        <v>1</v>
      </c>
      <c r="K5" s="8">
        <f>COUNTIFS('Самопроверка по школам'!$D$2:$D$131,"Богушевская СШ",'Самопроверка по школам'!$E$2:$E$131,"обществоведение",'Самопроверка по школам'!$J$2:$J$131,"п.л.")</f>
        <v>0</v>
      </c>
      <c r="L5" s="8">
        <f>COUNTIFS('Самопроверка по школам'!$D$2:$D$131,"Богушевская СШ",'Самопроверка по школам'!$E$2:$E$131,"география",'Самопроверка по школам'!$J$2:$J$131,"п.л.")</f>
        <v>0</v>
      </c>
      <c r="M5" s="8">
        <f>COUNTIFS('Самопроверка по школам'!$J$2:$J$131,"п.л.",'Самопроверка по школам'!$E$2:$E$131,"Биология",'Самопроверка по школам'!$D$2:$D$131,"Богушевская СШ")</f>
        <v>2</v>
      </c>
      <c r="N5" s="8">
        <f>COUNTIFS('Самопроверка по школам'!$D$2:$D$131,"Богушевская СШ",'Самопроверка по школам'!$E$2:$E$131,"физика",'Самопроверка по школам'!$J$2:$J$131,"п.л.")</f>
        <v>0</v>
      </c>
      <c r="O5" s="8">
        <f>COUNTIFS('Самопроверка по школам'!$J$2:$J$131,"п.л.",'Самопроверка по школам'!$E$2:$E$131,"астрономия",'Самопроверка по школам'!$D$2:$D$131,"Богушевская СШ")</f>
        <v>0</v>
      </c>
      <c r="P5" s="8">
        <f>COUNTIFS('Самопроверка по школам'!$J$2:$J$131,"п.л.",'Самопроверка по школам'!$E$2:$E$131,"химия",'Самопроверка по школам'!$D$2:$D$131,"Богушевская СШ")</f>
        <v>1</v>
      </c>
      <c r="Q5" s="8">
        <f>COUNTIFS('Самопроверка по школам'!$J$2:$J$131,"п.л.",'Самопроверка по школам'!$E$2:$E$131,"Труд обслуживающий",'Самопроверка по школам'!$D$2:$D$131,"Богушевская СШ")</f>
        <v>0</v>
      </c>
      <c r="R5" s="8">
        <f>COUNTIFS('Самопроверка по школам'!$J$2:$J$131,"п.л.",'Самопроверка по школам'!$E$2:$E$131,"Труд  технический",'Самопроверка по школам'!$D$2:$D$131,"Богушевская СШ")</f>
        <v>0</v>
      </c>
      <c r="S5" s="8">
        <f>COUNTIFS('Самопроверка по школам'!$J$2:$J$131,"п.л.",'Самопроверка по школам'!$E$2:$E$131,"физическая культура и здоровье",'Самопроверка по школам'!$D$2:$D$131,"Богушевская СШ")</f>
        <v>3</v>
      </c>
      <c r="T5" s="46"/>
      <c r="V5" s="46"/>
    </row>
    <row r="6" spans="1:22" ht="18.75" x14ac:dyDescent="0.25">
      <c r="A6" s="60">
        <v>4</v>
      </c>
      <c r="B6" s="5" t="s">
        <v>144</v>
      </c>
      <c r="C6" s="61">
        <f>COUNTIFS('Самопроверка по школам'!$J$2:$J$131,"п.л.",'Самопроверка по школам'!$D$2:$D$131,"Белицкая ДССШ")</f>
        <v>2</v>
      </c>
      <c r="D6" s="8">
        <f>COUNTIFS('Самопроверка по школам'!$D$2:$D$131,"Белицкая ДССШ",'Самопроверка по школам'!$E$2:$E$131,"бел.яз и лит.",'Самопроверка по школам'!$J$2:$J$131,"п.л.")</f>
        <v>0</v>
      </c>
      <c r="E6" s="8">
        <f>COUNTIFS('Самопроверка по школам'!$D$2:$D$131,"Белицкая ДССШ",'Самопроверка по школам'!$E$2:$E$131,"Русский язык и литература",'Самопроверка по школам'!$J$2:$J$131,"п.л.")</f>
        <v>0</v>
      </c>
      <c r="F6" s="8">
        <f>COUNTIFS('Самопроверка по школам'!$J$2:$J$131,"п.л.",'Самопроверка по школам'!$E$2:$E$131,"Английский язык",'Самопроверка по школам'!$D$2:$D$131,"Белицкая ДССШ")</f>
        <v>0</v>
      </c>
      <c r="G6" s="8">
        <f>COUNTIFS('Самопроверка по школам'!$J$2:$J$131,"п.л.",'Самопроверка по школам'!$E$2:$E$131,"нем.яз",'Самопроверка по школам'!$D$2:$D$131,"Белицкая ДССШ")</f>
        <v>0</v>
      </c>
      <c r="H6" s="8">
        <f>COUNTIFS('Самопроверка по школам'!$D$2:$D$131,"Белицкая ДССШ",'Самопроверка по школам'!$E$2:$E$131,"математика",'Самопроверка по школам'!$J$2:$J$131,"п.л.")</f>
        <v>0</v>
      </c>
      <c r="I6" s="8">
        <f>COUNTIFS('Самопроверка по школам'!$D$2:$D$131,"Белицкая ДССШ",'Самопроверка по школам'!$E$2:$E$131,"информатика",'Самопроверка по школам'!$J$2:$J$131,"п.л.")</f>
        <v>0</v>
      </c>
      <c r="J6" s="8">
        <f>COUNTIFS('Самопроверка по школам'!$D$2:$D$131,"Белицкая ДССШ",'Самопроверка по школам'!$E$2:$E$131,"история",'Самопроверка по школам'!$J$2:$J$131,"п.л.")</f>
        <v>0</v>
      </c>
      <c r="K6" s="8">
        <f>COUNTIFS('Самопроверка по школам'!$D$2:$D$131,"Белицкая ДССШ",'Самопроверка по школам'!$E$2:$E$131,"обществоведение",'Самопроверка по школам'!$J$2:$J$131,"п.л.")</f>
        <v>0</v>
      </c>
      <c r="L6" s="8">
        <f>COUNTIFS('Самопроверка по школам'!$D$2:$D$131,"Белицкая ДССШ",'Самопроверка по школам'!$E$2:$E$131,"география",'Самопроверка по школам'!$J$2:$J$131,"п.л.")</f>
        <v>1</v>
      </c>
      <c r="M6" s="8">
        <f>COUNTIFS('Самопроверка по школам'!$J$2:$J$131,"п.л.",'Самопроверка по школам'!$E$2:$E$131,"Биология",'Самопроверка по школам'!$D$2:$D$131,"Белицкая ДССШ")</f>
        <v>0</v>
      </c>
      <c r="N6" s="8">
        <f>COUNTIFS('Самопроверка по школам'!$D$2:$D$131,"Белицкая ДССШ",'Самопроверка по школам'!$E$2:$E$131,"физика",'Самопроверка по школам'!$J$2:$J$131,"п.л.")</f>
        <v>0</v>
      </c>
      <c r="O6" s="8">
        <f>COUNTIFS('Самопроверка по школам'!$J$2:$J$131,"п.л.",'Самопроверка по школам'!$E$2:$E$131,"астрономия",'Самопроверка по школам'!$D$2:$D$131,"Белицкая ДССШ")</f>
        <v>0</v>
      </c>
      <c r="P6" s="8">
        <f>COUNTIFS('Самопроверка по школам'!$J$2:$J$131,"п.л.",'Самопроверка по школам'!$E$2:$E$131,"химия",'Самопроверка по школам'!$D$2:$D$131,"Белицкая ДССШ")</f>
        <v>0</v>
      </c>
      <c r="Q6" s="8">
        <f>COUNTIFS('Самопроверка по школам'!$J$2:$J$131,"п.л.",'Самопроверка по школам'!$E$2:$E$131,"Труд обслуживающий",'Самопроверка по школам'!$D$2:$D$131,"Белицкая ДССШ")</f>
        <v>0</v>
      </c>
      <c r="R6" s="8">
        <f>COUNTIFS('Самопроверка по школам'!$J$2:$J$131,"п.л.",'Самопроверка по школам'!$E$2:$E$131,"Труд  технический",'Самопроверка по школам'!$D$2:$D$131,"Белицкая ДССШ")</f>
        <v>0</v>
      </c>
      <c r="S6" s="8">
        <f>COUNTIFS('Самопроверка по школам'!$J$2:$J$131,"п.л.",'Самопроверка по школам'!$E$2:$E$131,"физическая культура и здоровье",'Самопроверка по школам'!$D$2:$D$131,"Белицкая ДССШ")</f>
        <v>1</v>
      </c>
      <c r="T6" s="46"/>
      <c r="V6" s="46"/>
    </row>
    <row r="7" spans="1:22" ht="18.75" x14ac:dyDescent="0.25">
      <c r="A7" s="60">
        <v>5</v>
      </c>
      <c r="B7" s="5" t="s">
        <v>145</v>
      </c>
      <c r="C7" s="61">
        <f>COUNTIFS('Самопроверка по школам'!$J$2:$J$131,"п.л.",'Самопроверка по школам'!$D$2:$D$131,"Коковчинская ДССШ")</f>
        <v>0</v>
      </c>
      <c r="D7" s="8">
        <f>COUNTIFS('Самопроверка по школам'!$D$2:$D$131,"Коковчинская ДССШ",'Самопроверка по школам'!$E$2:$E$131,"бел.яз и лит.",'Самопроверка по школам'!$J$2:$J$131,"п.л.")</f>
        <v>0</v>
      </c>
      <c r="E7" s="8">
        <f>COUNTIFS('Самопроверка по школам'!$D$2:$D$131,"Коковчинская ДССШ",'Самопроверка по школам'!$E$2:$E$131,"Русский язык и литература",'Самопроверка по школам'!$J$2:$J$131,"п.л.")</f>
        <v>0</v>
      </c>
      <c r="F7" s="8">
        <f>COUNTIFS('Самопроверка по школам'!$J$2:$J$131,"п.л.",'Самопроверка по школам'!$E$2:$E$131,"Английский язык",'Самопроверка по школам'!$D$2:$D$131,"Коковчинская ДССШ")</f>
        <v>0</v>
      </c>
      <c r="G7" s="8">
        <f>COUNTIFS('Самопроверка по школам'!$J$2:$J$131,"п.л.",'Самопроверка по школам'!$E$2:$E$131,"нем.яз",'Самопроверка по школам'!$D$2:$D$131,"Коковчинская ДССШ")</f>
        <v>0</v>
      </c>
      <c r="H7" s="8">
        <f>COUNTIFS('Самопроверка по школам'!$D$2:$D$131,"Коковчинская ДССШ",'Самопроверка по школам'!$E$2:$E$131,"математика",'Самопроверка по школам'!$J$2:$J$131,"п.л.")</f>
        <v>0</v>
      </c>
      <c r="I7" s="8">
        <f>COUNTIFS('Самопроверка по школам'!$D$2:$D$131,"Коковчинская ДССШ",'Самопроверка по школам'!$E$2:$E$131,"информатика",'Самопроверка по школам'!$J$2:$J$131,"п.л.")</f>
        <v>0</v>
      </c>
      <c r="J7" s="8">
        <f>COUNTIFS('Самопроверка по школам'!$D$2:$D$131,"Коковчинская ДССШ",'Самопроверка по школам'!$E$2:$E$131,"история",'Самопроверка по школам'!$J$2:$J$131,"п.л.")</f>
        <v>0</v>
      </c>
      <c r="K7" s="8">
        <f>COUNTIFS('Самопроверка по школам'!$D$2:$D$131,"Коковчинская ДССШ",'Самопроверка по школам'!$E$2:$E$131,"обществоведение",'Самопроверка по школам'!$J$2:$J$131,"п.л.")</f>
        <v>0</v>
      </c>
      <c r="L7" s="8">
        <f>COUNTIFS('Самопроверка по школам'!$D$2:$D$131,"Коковчинская ДССШ",'Самопроверка по школам'!$E$2:$E$131,"география",'Самопроверка по школам'!$J$2:$J$131,"п.л.")</f>
        <v>0</v>
      </c>
      <c r="M7" s="8">
        <f>COUNTIFS('Самопроверка по школам'!$J$2:$J$131,"п.л.",'Самопроверка по школам'!$E$2:$E$131,"Биология",'Самопроверка по школам'!$D$2:$D$131,"Коковчинская ДССШ")</f>
        <v>0</v>
      </c>
      <c r="N7" s="8">
        <f>COUNTIFS('Самопроверка по школам'!$D$2:$D$131,"Коковчинская ДССШ",'Самопроверка по школам'!$E$2:$E$131,"физика",'Самопроверка по школам'!$J$2:$J$131,"п.л.")</f>
        <v>0</v>
      </c>
      <c r="O7" s="8">
        <f>COUNTIFS('Самопроверка по школам'!$J$2:$J$131,"п.л.",'Самопроверка по школам'!$E$2:$E$131,"астрономия",'Самопроверка по школам'!$D$2:$D$131,"Коковчинская ДССШ")</f>
        <v>0</v>
      </c>
      <c r="P7" s="8">
        <f>COUNTIFS('Самопроверка по школам'!$J$2:$J$131,"п.л.",'Самопроверка по школам'!$E$2:$E$131,"химия",'Самопроверка по школам'!$D$2:$D$131,"Коковчинская ДССШ")</f>
        <v>0</v>
      </c>
      <c r="Q7" s="8">
        <f>COUNTIFS('Самопроверка по школам'!$J$2:$J$131,"п.л.",'Самопроверка по школам'!$E$2:$E$131,"Труд обслуживающий",'Самопроверка по школам'!$D$2:$D$131,"Коковчинская ДССШ")</f>
        <v>0</v>
      </c>
      <c r="R7" s="8">
        <f>COUNTIFS('Самопроверка по школам'!$J$2:$J$131,"п.л.",'Самопроверка по школам'!$E$2:$E$131,"Труд  технический",'Самопроверка по школам'!$D$2:$D$131,"Коковчинская ДССШ")</f>
        <v>0</v>
      </c>
      <c r="S7" s="8">
        <f>COUNTIFS('Самопроверка по школам'!$J$2:$J$131,"п.л.",'Самопроверка по школам'!$E$2:$E$131,"физическая культура и здоровье",'Самопроверка по школам'!$D$2:$D$131,"Коковчинская ДССШ")</f>
        <v>0</v>
      </c>
      <c r="T7" s="46"/>
      <c r="V7" s="46"/>
    </row>
    <row r="8" spans="1:22" ht="18.75" x14ac:dyDescent="0.25">
      <c r="A8" s="60">
        <v>6</v>
      </c>
      <c r="B8" s="5" t="s">
        <v>146</v>
      </c>
      <c r="C8" s="61">
        <f>COUNTIFS('Самопроверка по школам'!$J$2:$J$131,"п.л.",'Самопроверка по школам'!$D$2:$D$131,"Мошканская ДССШ")</f>
        <v>3</v>
      </c>
      <c r="D8" s="8">
        <f>COUNTIFS('Самопроверка по школам'!$D$2:$D$131,"Мошканская ДССШ",'Самопроверка по школам'!$E$2:$E$131,"бел.яз и лит.",'Самопроверка по школам'!$J$2:$J$131,"п.л.")</f>
        <v>0</v>
      </c>
      <c r="E8" s="8">
        <f>COUNTIFS('Самопроверка по школам'!$D$2:$D$131,"Мошканская ДССШ",'Самопроверка по школам'!$E$2:$E$131,"Русский язык и литература",'Самопроверка по школам'!$J$2:$J$131,"п.л.")</f>
        <v>0</v>
      </c>
      <c r="F8" s="8">
        <f>COUNTIFS('Самопроверка по школам'!$J$2:$J$131,"п.л.",'Самопроверка по школам'!$E$2:$E$131,"Английский язык",'Самопроверка по школам'!$D$2:$D$131,"Мошканская ДССШ")</f>
        <v>0</v>
      </c>
      <c r="G8" s="8">
        <f>COUNTIFS('Самопроверка по школам'!$J$2:$J$131,"п.л.",'Самопроверка по школам'!$E$2:$E$131,"нем.яз",'Самопроверка по школам'!$D$2:$D$131,"Мошканская ДССШ")</f>
        <v>0</v>
      </c>
      <c r="H8" s="8">
        <f>COUNTIFS('Самопроверка по школам'!$D$2:$D$131,"Мошканская ДССШ",'Самопроверка по школам'!$E$2:$E$131,"математика",'Самопроверка по школам'!$J$2:$J$131,"п.л.")</f>
        <v>0</v>
      </c>
      <c r="I8" s="8">
        <f>COUNTIFS('Самопроверка по школам'!$D$2:$D$131,"Мошканская ДССШ",'Самопроверка по школам'!$E$2:$E$131,"информатика",'Самопроверка по школам'!$J$2:$J$131,"п.л.")</f>
        <v>0</v>
      </c>
      <c r="J8" s="8">
        <f>COUNTIFS('Самопроверка по школам'!$D$2:$D$131,"Мошканская ДССШ",'Самопроверка по школам'!$E$2:$E$131,"история",'Самопроверка по школам'!$J$2:$J$131,"п.л.")</f>
        <v>0</v>
      </c>
      <c r="K8" s="8">
        <f>COUNTIFS('Самопроверка по школам'!$D$2:$D$131,"Мошканская ДССШ",'Самопроверка по школам'!$E$2:$E$131,"обществоведение",'Самопроверка по школам'!$J$2:$J$131,"п.л.")</f>
        <v>1</v>
      </c>
      <c r="L8" s="8">
        <f>COUNTIFS('Самопроверка по школам'!$D$2:$D$131,"Мошканская ДССШ",'Самопроверка по школам'!$E$2:$E$131,"география",'Самопроверка по школам'!$J$2:$J$131,"п.л.")</f>
        <v>0</v>
      </c>
      <c r="M8" s="8">
        <f>COUNTIFS('Самопроверка по школам'!$J$2:$J$131,"п.л.",'Самопроверка по школам'!$E$2:$E$131,"Биология",'Самопроверка по школам'!$D$2:$D$131,"Мошканская ДССШ")</f>
        <v>1</v>
      </c>
      <c r="N8" s="8">
        <f>COUNTIFS('Самопроверка по школам'!$D$2:$D$131,"Мошканская ДССШ",'Самопроверка по школам'!$E$2:$E$131,"физика",'Самопроверка по школам'!$J$2:$J$131,"п.л.")</f>
        <v>0</v>
      </c>
      <c r="O8" s="8">
        <f>COUNTIFS('Самопроверка по школам'!$J$2:$J$131,"п.л.",'Самопроверка по школам'!$E$2:$E$131,"астрономия",'Самопроверка по школам'!$D$2:$D$131,"Мошканская ДССШ")</f>
        <v>0</v>
      </c>
      <c r="P8" s="8">
        <f>COUNTIFS('Самопроверка по школам'!$J$2:$J$131,"п.л.",'Самопроверка по школам'!$E$2:$E$131,"химия",'Самопроверка по школам'!$D$2:$D$131,"Мошканская ДССШ")</f>
        <v>0</v>
      </c>
      <c r="Q8" s="8">
        <f>COUNTIFS('Самопроверка по школам'!$J$2:$J$131,"п.л.",'Самопроверка по школам'!$E$2:$E$131,"Труд обслуживающий",'Самопроверка по школам'!$D$2:$D$131,"Мошканская ДССШ")</f>
        <v>0</v>
      </c>
      <c r="R8" s="8">
        <f>COUNTIFS('Самопроверка по школам'!$J$2:$J$131,"п.л.",'Самопроверка по школам'!$E$2:$E$131,"Труд  технический",'Самопроверка по школам'!$D$2:$D$131,"Мошканская ДССШ")</f>
        <v>0</v>
      </c>
      <c r="S8" s="8">
        <f>COUNTIFS('Самопроверка по школам'!$J$2:$J$131,"п.л.",'Самопроверка по школам'!$E$2:$E$131,"физическая культура и здоровье",'Самопроверка по школам'!$D$2:$D$131,"Мошканская ДССШ")</f>
        <v>1</v>
      </c>
      <c r="T8" s="46"/>
      <c r="V8" s="46"/>
    </row>
    <row r="9" spans="1:22" ht="18.75" x14ac:dyDescent="0.25">
      <c r="A9" s="60">
        <v>7</v>
      </c>
      <c r="B9" s="5" t="s">
        <v>147</v>
      </c>
      <c r="C9" s="61">
        <f>COUNTIFS('Самопроверка по школам'!$J$2:$J$131,"п.л.",'Самопроверка по школам'!$D$2:$D$131,"Студёнковская ДССШ")</f>
        <v>2</v>
      </c>
      <c r="D9" s="8">
        <f>COUNTIFS('Самопроверка по школам'!$D$2:$D$131,"Студёнковская ДССШ",'Самопроверка по школам'!$E$2:$E$131,"бел.яз и лит.",'Самопроверка по школам'!$J$2:$J$131,"п.л.")</f>
        <v>0</v>
      </c>
      <c r="E9" s="8">
        <f>COUNTIFS('Самопроверка по школам'!$D$2:$D$131,"Студёнковская ДССШ",'Самопроверка по школам'!$E$2:$E$131,"Русский язык и литература",'Самопроверка по школам'!$J$2:$J$131,"п.л.")</f>
        <v>0</v>
      </c>
      <c r="F9" s="8">
        <f>COUNTIFS('Самопроверка по школам'!$J$2:$J$131,"п.л.",'Самопроверка по школам'!$E$2:$E$131,"Английский язык",'Самопроверка по школам'!$D$2:$D$131,"Студёнковская ДССШ")</f>
        <v>0</v>
      </c>
      <c r="G9" s="8">
        <f>COUNTIFS('Самопроверка по школам'!$J$2:$J$131,"п.л.",'Самопроверка по школам'!$E$2:$E$131,"нем.яз",'Самопроверка по школам'!$D$2:$D$131,"Студёнковская ДССШ")</f>
        <v>0</v>
      </c>
      <c r="H9" s="8">
        <f>COUNTIFS('Самопроверка по школам'!$D$2:$D$131,"Студёнковская ДССШ",'Самопроверка по школам'!$E$2:$E$131,"математика",'Самопроверка по школам'!$J$2:$J$131,"п.л.")</f>
        <v>0</v>
      </c>
      <c r="I9" s="8">
        <f>COUNTIFS('Самопроверка по школам'!$D$2:$D$131,"Студёнковская ДССШ",'Самопроверка по школам'!$E$2:$E$131,"информатика",'Самопроверка по школам'!$J$2:$J$131,"п.л.")</f>
        <v>0</v>
      </c>
      <c r="J9" s="8">
        <f>COUNTIFS('Самопроверка по школам'!$D$2:$D$131,"Студёнковская ДССШ",'Самопроверка по школам'!$E$2:$E$131,"история",'Самопроверка по школам'!$J$2:$J$131,"п.л.")</f>
        <v>0</v>
      </c>
      <c r="K9" s="8">
        <f>COUNTIFS('Самопроверка по школам'!$D$2:$D$131,"Студёнковская ДССШ",'Самопроверка по школам'!$E$2:$E$131,"обществоведение",'Самопроверка по школам'!$J$2:$J$131,"п.л.")</f>
        <v>0</v>
      </c>
      <c r="L9" s="8">
        <f>COUNTIFS('Самопроверка по школам'!$D$2:$D$131,"Студёнковская ДССШ",'Самопроверка по школам'!$E$2:$E$131,"география",'Самопроверка по школам'!$J$2:$J$131,"п.л.")</f>
        <v>0</v>
      </c>
      <c r="M9" s="8">
        <f>COUNTIFS('Самопроверка по школам'!$J$2:$J$131,"п.л.",'Самопроверка по школам'!$E$2:$E$131,"Биология",'Самопроверка по школам'!$D$2:$D$131,"Студёнковская ДССШ")</f>
        <v>0</v>
      </c>
      <c r="N9" s="8">
        <f>COUNTIFS('Самопроверка по школам'!$D$2:$D$131,"Студёнковская ДССШ",'Самопроверка по школам'!$E$2:$E$131,"физика",'Самопроверка по школам'!$J$2:$J$131,"п.л.")</f>
        <v>0</v>
      </c>
      <c r="O9" s="8">
        <f>COUNTIFS('Самопроверка по школам'!$J$2:$J$131,"п.л.",'Самопроверка по школам'!$E$2:$E$131,"астрономия",'Самопроверка по школам'!$D$2:$D$131,"Студёнковская ДССШ")</f>
        <v>0</v>
      </c>
      <c r="P9" s="8">
        <f>COUNTIFS('Самопроверка по школам'!$J$2:$J$131,"п.л.",'Самопроверка по школам'!$E$2:$E$131,"химия",'Самопроверка по школам'!$D$2:$D$131,"Студёнковская ДССШ")</f>
        <v>0</v>
      </c>
      <c r="Q9" s="8">
        <f>COUNTIFS('Самопроверка по школам'!$J$2:$J$131,"п.л.",'Самопроверка по школам'!$E$2:$E$131,"Труд обслуживающий",'Самопроверка по школам'!$D$2:$D$131,"Студёнковская ДССШ")</f>
        <v>1</v>
      </c>
      <c r="R9" s="8">
        <f>COUNTIFS('Самопроверка по школам'!$J$2:$J$131,"п.л.",'Самопроверка по школам'!$E$2:$E$131,"Труд  технический",'Самопроверка по школам'!$D$2:$D$131,"Студёнковская ДССШ")</f>
        <v>0</v>
      </c>
      <c r="S9" s="8">
        <f>COUNTIFS('Самопроверка по школам'!$J$2:$J$131,"п.л.",'Самопроверка по школам'!$E$2:$E$131,"физическая культура и здоровье",'Самопроверка по школам'!$D$2:$D$131,"Студёнковская ДССШ")</f>
        <v>1</v>
      </c>
      <c r="T9" s="46"/>
      <c r="V9" s="46"/>
    </row>
    <row r="10" spans="1:22" ht="18.75" x14ac:dyDescent="0.25">
      <c r="A10" s="60">
        <v>8</v>
      </c>
      <c r="B10" s="5" t="s">
        <v>148</v>
      </c>
      <c r="C10" s="61">
        <f>COUNTIFS('Самопроверка по школам'!$J$2:$J$131,"п.л.",'Самопроверка по школам'!$D$2:$D$131,"Ходцевская ДССШ")</f>
        <v>0</v>
      </c>
      <c r="D10" s="8">
        <f>COUNTIFS('Самопроверка по школам'!$D$2:$D$131,"Ходцевская ДССШ",'Самопроверка по школам'!$E$2:$E$131,"бел.яз и лит.",'Самопроверка по школам'!$J$2:$J$131,"п.л.")</f>
        <v>0</v>
      </c>
      <c r="E10" s="8">
        <f>COUNTIFS('Самопроверка по школам'!$D$2:$D$131,"Ходцевская ДССШ",'Самопроверка по школам'!$E$2:$E$131,"Русский язык и литература",'Самопроверка по школам'!$J$2:$J$131,"п.л.")</f>
        <v>0</v>
      </c>
      <c r="F10" s="8">
        <f>COUNTIFS('Самопроверка по школам'!$J$2:$J$131,"п.л.",'Самопроверка по школам'!$E$2:$E$131,"Английский язык",'Самопроверка по школам'!$D$2:$D$131,"Ходцевская ДССШ")</f>
        <v>0</v>
      </c>
      <c r="G10" s="8">
        <f>COUNTIFS('Самопроверка по школам'!$J$2:$J$131,"п.л.",'Самопроверка по школам'!$E$2:$E$131,"нем.яз",'Самопроверка по школам'!$D$2:$D$131,"Ходцевская ДССШ")</f>
        <v>0</v>
      </c>
      <c r="H10" s="8">
        <f>COUNTIFS('Самопроверка по школам'!$D$2:$D$131,"Ходцевская ДССШ",'Самопроверка по школам'!$E$2:$E$131,"математика",'Самопроверка по школам'!$J$2:$J$131,"п.л.")</f>
        <v>0</v>
      </c>
      <c r="I10" s="8">
        <f>COUNTIFS('Самопроверка по школам'!$D$2:$D$131,"Ходцевская ДССШ",'Самопроверка по школам'!$E$2:$E$131,"информатика",'Самопроверка по школам'!$J$2:$J$131,"п.л.")</f>
        <v>0</v>
      </c>
      <c r="J10" s="8">
        <f>COUNTIFS('Самопроверка по школам'!$D$2:$D$131,"Ходцевская ДССШ",'Самопроверка по школам'!$E$2:$E$131,"история",'Самопроверка по школам'!$J$2:$J$131,"п.л.")</f>
        <v>0</v>
      </c>
      <c r="K10" s="8">
        <f>COUNTIFS('Самопроверка по школам'!$D$2:$D$131,"Ходцевская ДССШ",'Самопроверка по школам'!$E$2:$E$131,"обществоведение",'Самопроверка по школам'!$J$2:$J$131,"п.л.")</f>
        <v>0</v>
      </c>
      <c r="L10" s="8">
        <f>COUNTIFS('Самопроверка по школам'!$D$2:$D$131,"Ходцевская ДССШ",'Самопроверка по школам'!$E$2:$E$131,"география",'Самопроверка по школам'!$J$2:$J$131,"п.л.")</f>
        <v>0</v>
      </c>
      <c r="M10" s="8">
        <f>COUNTIFS('Самопроверка по школам'!$J$2:$J$131,"п.л.",'Самопроверка по школам'!$E$2:$E$131,"Биология",'Самопроверка по школам'!$D$2:$D$131,"Ходцевская ДССШ")</f>
        <v>0</v>
      </c>
      <c r="N10" s="8">
        <f>COUNTIFS('Самопроверка по школам'!$D$2:$D$131,"Ходцевская ДССШ",'Самопроверка по школам'!$E$2:$E$131,"физика",'Самопроверка по школам'!$J$2:$J$131,"п.л.")</f>
        <v>0</v>
      </c>
      <c r="O10" s="8">
        <f>COUNTIFS('Самопроверка по школам'!$J$2:$J$131,"п.л.",'Самопроверка по школам'!$E$2:$E$131,"астрономия",'Самопроверка по школам'!$D$2:$D$131,"Ходцевская ДССШ")</f>
        <v>0</v>
      </c>
      <c r="P10" s="8">
        <f>COUNTIFS('Самопроверка по школам'!$J$2:$J$131,"п.л.",'Самопроверка по школам'!$E$2:$E$131,"химия",'Самопроверка по школам'!$D$2:$D$131,"Ходцевская ДССШ")</f>
        <v>0</v>
      </c>
      <c r="Q10" s="8">
        <f>COUNTIFS('Самопроверка по школам'!$J$2:$J$131,"п.л.",'Самопроверка по школам'!$E$2:$E$131,"Труд обслуживающий",'Самопроверка по школам'!$D$2:$D$131,"Ходцевская ДССШ")</f>
        <v>0</v>
      </c>
      <c r="R10" s="8">
        <f>COUNTIFS('Самопроверка по школам'!$J$2:$J$131,"п.л.",'Самопроверка по школам'!$E$2:$E$131,"Труд  технический",'Самопроверка по школам'!$D$2:$D$131,"Ходцевская ДССШ")</f>
        <v>0</v>
      </c>
      <c r="S10" s="8">
        <f>COUNTIFS('Самопроверка по школам'!$J$2:$J$131,"п.л.",'Самопроверка по школам'!$E$2:$E$131,"физическая культура и здоровье",'Самопроверка по школам'!$D$2:$D$131,"Ходцевская ДССШ")</f>
        <v>0</v>
      </c>
      <c r="T10" s="46"/>
      <c r="V10" s="46"/>
    </row>
    <row r="11" spans="1:22" ht="18.75" x14ac:dyDescent="0.25">
      <c r="A11" s="60">
        <v>9</v>
      </c>
      <c r="B11" s="5" t="s">
        <v>149</v>
      </c>
      <c r="C11" s="61">
        <f>COUNTIFS('Самопроверка по школам'!$J$2:$J$131,"п.л.",'Самопроверка по школам'!$D$2:$D$131,"Яновская ДСБШ")</f>
        <v>1</v>
      </c>
      <c r="D11" s="8">
        <f>COUNTIFS('Самопроверка по школам'!$D$2:$D$131,"Яновская ДСБШ",'Самопроверка по школам'!$E$2:$E$131,"бел.яз и лит.",'Самопроверка по школам'!$J$2:$J$131,"п.л.")</f>
        <v>1</v>
      </c>
      <c r="E11" s="8">
        <f>COUNTIFS('Самопроверка по школам'!$D$2:$D$131,"Яновская ДСБШ",'Самопроверка по школам'!$E$2:$E$131,"Русский язык и литература",'Самопроверка по школам'!$J$2:$J$131,"п.л.")</f>
        <v>0</v>
      </c>
      <c r="F11" s="8">
        <f>COUNTIFS('Самопроверка по школам'!$J$2:$J$131,"п.л.",'Самопроверка по школам'!$E$2:$E$131,"Английский язык",'Самопроверка по школам'!$D$2:$D$131,"Яновская ДСБШ")</f>
        <v>0</v>
      </c>
      <c r="G11" s="8">
        <f>COUNTIFS('Самопроверка по школам'!$J$2:$J$131,"п.л.",'Самопроверка по школам'!$E$2:$E$131,"нем.яз",'Самопроверка по школам'!$D$2:$D$131,"Яновская ДСБШ")</f>
        <v>0</v>
      </c>
      <c r="H11" s="8">
        <f>COUNTIFS('Самопроверка по школам'!$D$2:$D$131,"Яновская ДСБШ",'Самопроверка по школам'!$E$2:$E$131,"математика",'Самопроверка по школам'!$J$2:$J$131,"п.л.")</f>
        <v>0</v>
      </c>
      <c r="I11" s="8">
        <f>COUNTIFS('Самопроверка по школам'!$D$2:$D$131,"Яновская ДСБШ",'Самопроверка по школам'!$E$2:$E$131,"информатика",'Самопроверка по школам'!$J$2:$J$131,"п.л.")</f>
        <v>0</v>
      </c>
      <c r="J11" s="8">
        <f>COUNTIFS('Самопроверка по школам'!$D$2:$D$131,"Яновская ДСБШ",'Самопроверка по школам'!$E$2:$E$131,"история",'Самопроверка по школам'!$J$2:$J$131,"п.л.")</f>
        <v>0</v>
      </c>
      <c r="K11" s="8">
        <f>COUNTIFS('Самопроверка по школам'!$D$2:$D$131,"Яновская ДСБШ",'Самопроверка по школам'!$E$2:$E$131,"обществоведение",'Самопроверка по школам'!$J$2:$J$131,"п.л.")</f>
        <v>0</v>
      </c>
      <c r="L11" s="8">
        <f>COUNTIFS('Самопроверка по школам'!$D$2:$D$131,"Яновская ДСБШ",'Самопроверка по школам'!$E$2:$E$131,"география",'Самопроверка по школам'!$J$2:$J$131,"п.л.")</f>
        <v>0</v>
      </c>
      <c r="M11" s="8">
        <f>COUNTIFS('Самопроверка по школам'!$J$2:$J$131,"п.л.",'Самопроверка по школам'!$E$2:$E$131,"Биология",'Самопроверка по школам'!$D$2:$D$131,"Яновская ДСБШ")</f>
        <v>0</v>
      </c>
      <c r="N11" s="8">
        <f>COUNTIFS('Самопроверка по школам'!$D$2:$D$131,"Яновская ДСБШ",'Самопроверка по школам'!$E$2:$E$131,"физика",'Самопроверка по школам'!$J$2:$J$131,"п.л.")</f>
        <v>0</v>
      </c>
      <c r="O11" s="8">
        <f>COUNTIFS('Самопроверка по школам'!$J$2:$J$131,"п.л.",'Самопроверка по школам'!$E$2:$E$131,"астрономия",'Самопроверка по школам'!$D$2:$D$131,"Яновская ДСБШ")</f>
        <v>0</v>
      </c>
      <c r="P11" s="8">
        <f>COUNTIFS('Самопроверка по школам'!$J$2:$J$131,"п.л.",'Самопроверка по школам'!$E$2:$E$131,"химия",'Самопроверка по школам'!$D$2:$D$131,"Яновская ДСБШ")</f>
        <v>0</v>
      </c>
      <c r="Q11" s="8">
        <f>COUNTIFS('Самопроверка по школам'!$J$2:$J$131,"п.л.",'Самопроверка по школам'!$E$2:$E$131,"Труд обслуживающий",'Самопроверка по школам'!$D$2:$D$131,"Яновская ДСБШ")</f>
        <v>0</v>
      </c>
      <c r="R11" s="8">
        <f>COUNTIFS('Самопроверка по школам'!$J$2:$J$131,"п.л.",'Самопроверка по школам'!$E$2:$E$131,"Труд  технический",'Самопроверка по школам'!$D$2:$D$131,"Яновская ДСБШ")</f>
        <v>0</v>
      </c>
      <c r="S11" s="8">
        <f>COUNTIFS('Самопроверка по школам'!$J$2:$J$131,"п.л.",'Самопроверка по школам'!$E$2:$E$131,"физическая культура и здоровье",'Самопроверка по школам'!$D$2:$D$131,"Яновская ДСБШ")</f>
        <v>0</v>
      </c>
      <c r="T11" s="46">
        <f>SUM(D3:S11)</f>
        <v>38</v>
      </c>
      <c r="V11" s="46"/>
    </row>
    <row r="12" spans="1:22" ht="20.25" x14ac:dyDescent="0.25">
      <c r="A12" s="37"/>
      <c r="B12" s="38" t="s">
        <v>23</v>
      </c>
      <c r="C12" s="109">
        <f>SUM(C3:C11)</f>
        <v>38</v>
      </c>
      <c r="D12" s="110">
        <f>SUM(D3:D11)</f>
        <v>5</v>
      </c>
      <c r="E12" s="111">
        <f>SUM(E3:E11)</f>
        <v>2</v>
      </c>
      <c r="F12" s="112">
        <f t="shared" ref="F12:R12" si="0">SUM(F1:F11)</f>
        <v>4</v>
      </c>
      <c r="G12" s="113">
        <f t="shared" si="0"/>
        <v>0</v>
      </c>
      <c r="H12" s="114">
        <f t="shared" si="0"/>
        <v>0</v>
      </c>
      <c r="I12" s="115">
        <f t="shared" si="0"/>
        <v>0</v>
      </c>
      <c r="J12" s="116">
        <f t="shared" si="0"/>
        <v>2</v>
      </c>
      <c r="K12" s="117">
        <f t="shared" si="0"/>
        <v>3</v>
      </c>
      <c r="L12" s="115">
        <f t="shared" si="0"/>
        <v>2</v>
      </c>
      <c r="M12" s="118">
        <f t="shared" si="0"/>
        <v>7</v>
      </c>
      <c r="N12" s="112">
        <f t="shared" si="0"/>
        <v>0</v>
      </c>
      <c r="O12" s="119">
        <f t="shared" si="0"/>
        <v>0</v>
      </c>
      <c r="P12" s="118">
        <f t="shared" si="0"/>
        <v>2</v>
      </c>
      <c r="Q12" s="114">
        <f t="shared" si="0"/>
        <v>1</v>
      </c>
      <c r="R12" s="120">
        <f t="shared" si="0"/>
        <v>1</v>
      </c>
      <c r="S12" s="121">
        <f>SUM(S3:S11)</f>
        <v>9</v>
      </c>
      <c r="T12" s="46">
        <f>SUM(D12:S12)</f>
        <v>38</v>
      </c>
      <c r="V12" s="46"/>
    </row>
  </sheetData>
  <mergeCells count="17">
    <mergeCell ref="Q1:Q2"/>
    <mergeCell ref="S1:S2"/>
    <mergeCell ref="P1:P2"/>
    <mergeCell ref="R1:R2"/>
    <mergeCell ref="N1:N2"/>
    <mergeCell ref="O1:O2"/>
    <mergeCell ref="A1:C1"/>
    <mergeCell ref="J1:J2"/>
    <mergeCell ref="K1:K2"/>
    <mergeCell ref="L1:L2"/>
    <mergeCell ref="M1:M2"/>
    <mergeCell ref="D1:D2"/>
    <mergeCell ref="E1:E2"/>
    <mergeCell ref="F1:F2"/>
    <mergeCell ref="G1:G2"/>
    <mergeCell ref="H1:H2"/>
    <mergeCell ref="I1:I2"/>
  </mergeCells>
  <pageMargins left="0.51181102362204722" right="0.31496062992125984" top="0.9448818897637796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7"/>
  <sheetViews>
    <sheetView tabSelected="1" zoomScale="85" zoomScaleNormal="85" workbookViewId="0">
      <selection activeCell="D13" sqref="D13"/>
    </sheetView>
  </sheetViews>
  <sheetFormatPr defaultRowHeight="15" x14ac:dyDescent="0.25"/>
  <cols>
    <col min="1" max="1" width="23.140625" style="13" customWidth="1"/>
    <col min="2" max="2" width="6.28515625" style="13" customWidth="1"/>
    <col min="3" max="3" width="7.85546875" style="13" customWidth="1"/>
    <col min="4" max="4" width="12.140625" style="13" customWidth="1"/>
    <col min="5" max="5" width="9.7109375" style="13" customWidth="1"/>
    <col min="6" max="6" width="4.28515625" style="13" customWidth="1"/>
    <col min="7" max="7" width="6" style="13" customWidth="1"/>
    <col min="8" max="8" width="4.85546875" style="13" customWidth="1"/>
    <col min="9" max="9" width="5.28515625" style="13" customWidth="1"/>
    <col min="10" max="10" width="4.85546875" style="13" customWidth="1"/>
    <col min="11" max="11" width="5.140625" style="13" customWidth="1"/>
    <col min="12" max="12" width="5.7109375" style="13" customWidth="1"/>
    <col min="13" max="13" width="5.42578125" style="13" customWidth="1"/>
    <col min="14" max="14" width="5.140625" style="13" customWidth="1"/>
    <col min="15" max="15" width="5.5703125" style="13" customWidth="1"/>
    <col min="16" max="16" width="5" style="13" customWidth="1"/>
    <col min="17" max="17" width="4.85546875" style="13" customWidth="1"/>
    <col min="18" max="18" width="7" style="13" customWidth="1"/>
    <col min="19" max="20" width="5" style="13" customWidth="1"/>
    <col min="21" max="21" width="4.5703125" style="13" customWidth="1"/>
    <col min="22" max="22" width="4.28515625" style="13" customWidth="1"/>
    <col min="23" max="23" width="7.85546875" style="13" customWidth="1"/>
    <col min="24" max="16384" width="9.140625" style="13"/>
  </cols>
  <sheetData>
    <row r="1" spans="1:24" ht="68.25" customHeight="1" x14ac:dyDescent="0.25">
      <c r="A1" s="279" t="s">
        <v>282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1"/>
      <c r="V1" s="47"/>
      <c r="W1" s="48"/>
    </row>
    <row r="2" spans="1:24" ht="20.25" customHeight="1" x14ac:dyDescent="0.25">
      <c r="A2" s="225" t="s">
        <v>89</v>
      </c>
      <c r="B2" s="287" t="s">
        <v>142</v>
      </c>
      <c r="C2" s="288" t="s">
        <v>24</v>
      </c>
      <c r="D2" s="228" t="s">
        <v>35</v>
      </c>
      <c r="E2" s="289" t="s">
        <v>71</v>
      </c>
      <c r="F2" s="295" t="s">
        <v>76</v>
      </c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7"/>
      <c r="U2" s="292" t="s">
        <v>20</v>
      </c>
    </row>
    <row r="3" spans="1:24" ht="20.25" customHeight="1" x14ac:dyDescent="0.25">
      <c r="A3" s="225"/>
      <c r="B3" s="287"/>
      <c r="C3" s="288"/>
      <c r="D3" s="228"/>
      <c r="E3" s="290"/>
      <c r="F3" s="231" t="s">
        <v>25</v>
      </c>
      <c r="G3" s="236" t="s">
        <v>26</v>
      </c>
      <c r="H3" s="301" t="s">
        <v>27</v>
      </c>
      <c r="I3" s="302" t="s">
        <v>29</v>
      </c>
      <c r="J3" s="224" t="s">
        <v>30</v>
      </c>
      <c r="K3" s="286" t="s">
        <v>31</v>
      </c>
      <c r="L3" s="231" t="s">
        <v>32</v>
      </c>
      <c r="M3" s="283" t="s">
        <v>33</v>
      </c>
      <c r="N3" s="284" t="s">
        <v>37</v>
      </c>
      <c r="O3" s="235" t="s">
        <v>38</v>
      </c>
      <c r="P3" s="285" t="s">
        <v>39</v>
      </c>
      <c r="Q3" s="282" t="s">
        <v>40</v>
      </c>
      <c r="R3" s="289" t="s">
        <v>90</v>
      </c>
      <c r="S3" s="300" t="s">
        <v>91</v>
      </c>
      <c r="T3" s="298" t="s">
        <v>85</v>
      </c>
      <c r="U3" s="293"/>
    </row>
    <row r="4" spans="1:24" ht="71.25" customHeight="1" x14ac:dyDescent="0.25">
      <c r="A4" s="225"/>
      <c r="B4" s="287"/>
      <c r="C4" s="288"/>
      <c r="D4" s="228"/>
      <c r="E4" s="291"/>
      <c r="F4" s="231"/>
      <c r="G4" s="236"/>
      <c r="H4" s="301"/>
      <c r="I4" s="302"/>
      <c r="J4" s="224"/>
      <c r="K4" s="286"/>
      <c r="L4" s="231"/>
      <c r="M4" s="283"/>
      <c r="N4" s="284"/>
      <c r="O4" s="235"/>
      <c r="P4" s="285"/>
      <c r="Q4" s="282"/>
      <c r="R4" s="291"/>
      <c r="S4" s="300"/>
      <c r="T4" s="299"/>
      <c r="U4" s="294"/>
    </row>
    <row r="5" spans="1:24" ht="15" customHeight="1" x14ac:dyDescent="0.25">
      <c r="A5" s="7" t="s">
        <v>12</v>
      </c>
      <c r="B5" s="76">
        <v>109</v>
      </c>
      <c r="C5" s="3">
        <f>'Предварительная Результативност'!H4</f>
        <v>40</v>
      </c>
      <c r="D5" s="10">
        <f>E5/C5</f>
        <v>0.35</v>
      </c>
      <c r="E5" s="40">
        <f>'Результативность по предметам'!E5</f>
        <v>14</v>
      </c>
      <c r="F5" s="8">
        <f>'Результативность по предметам'!I5+нерезульт.выступление!F5+'Похвальные листы Школы Предметы'!D3</f>
        <v>5</v>
      </c>
      <c r="G5" s="8">
        <f>'Результативность по предметам'!J5+нерезульт.выступление!G5+'Похвальные листы Школы Предметы'!E3</f>
        <v>4</v>
      </c>
      <c r="H5" s="8">
        <f>'Результативность по предметам'!K5+нерезульт.выступление!H5+'Похвальные листы Школы Предметы'!F3</f>
        <v>2</v>
      </c>
      <c r="I5" s="8">
        <f>'Результативность по предметам'!M5+нерезульт.выступление!J5+'Похвальные листы Школы Предметы'!H3</f>
        <v>3</v>
      </c>
      <c r="J5" s="8">
        <f>'Результативность по предметам'!N5+нерезульт.выступление!K5+'Похвальные листы Школы Предметы'!I3</f>
        <v>0</v>
      </c>
      <c r="K5" s="8">
        <f>'Результативность по предметам'!O5+нерезульт.выступление!L5+'Похвальные листы Школы Предметы'!J3</f>
        <v>3</v>
      </c>
      <c r="L5" s="8">
        <f>'Результативность по предметам'!P5+нерезульт.выступление!M5+'Похвальные листы Школы Предметы'!K3</f>
        <v>4</v>
      </c>
      <c r="M5" s="8">
        <f>'Результативность по предметам'!Q5+нерезульт.выступление!N5+'Похвальные листы Школы Предметы'!L3</f>
        <v>3</v>
      </c>
      <c r="N5" s="8">
        <f>'Результативность по предметам'!R5+нерезульт.выступление!O5+'Похвальные листы Школы Предметы'!M3</f>
        <v>7</v>
      </c>
      <c r="O5" s="8">
        <f>'Результативность по предметам'!S5+нерезульт.выступление!P5+'Похвальные листы Школы Предметы'!N3</f>
        <v>0</v>
      </c>
      <c r="P5" s="8">
        <f>'Результативность по предметам'!T5+нерезульт.выступление!Q5+'Похвальные листы Школы Предметы'!O3</f>
        <v>1</v>
      </c>
      <c r="Q5" s="8">
        <f>'Результативность по предметам'!U5+нерезульт.выступление!R5+'Похвальные листы Школы Предметы'!P3</f>
        <v>3</v>
      </c>
      <c r="R5" s="8">
        <f>'Результативность по предметам'!V5+нерезульт.выступление!S5+'Похвальные листы Школы Предметы'!Q3</f>
        <v>0</v>
      </c>
      <c r="S5" s="8">
        <f>'Результативность по предметам'!W5+нерезульт.выступление!T5+'Похвальные листы Школы Предметы'!R3</f>
        <v>1</v>
      </c>
      <c r="T5" s="8">
        <f>'Результативность по предметам'!X5+нерезульт.выступление!U5+'Похвальные листы Школы Предметы'!S3</f>
        <v>4</v>
      </c>
      <c r="U5" s="49">
        <f>'Похвальные листы Школы Предметы'!C3</f>
        <v>13</v>
      </c>
    </row>
    <row r="6" spans="1:24" ht="15.75" customHeight="1" x14ac:dyDescent="0.25">
      <c r="A6" s="7" t="s">
        <v>10</v>
      </c>
      <c r="B6" s="76">
        <v>107</v>
      </c>
      <c r="C6" s="3">
        <f>'Предварительная Результативност'!H5</f>
        <v>37</v>
      </c>
      <c r="D6" s="10">
        <f t="shared" ref="D6:D14" si="0">E6/C6</f>
        <v>0.1891891891891892</v>
      </c>
      <c r="E6" s="40">
        <f>'Результативность по предметам'!E6</f>
        <v>7</v>
      </c>
      <c r="F6" s="8">
        <f>'Результативность по предметам'!I6+нерезульт.выступление!F6+'Похвальные листы Школы Предметы'!D4</f>
        <v>4</v>
      </c>
      <c r="G6" s="8">
        <f>'Результативность по предметам'!J6+нерезульт.выступление!G6+'Похвальные листы Школы Предметы'!E4</f>
        <v>2</v>
      </c>
      <c r="H6" s="8">
        <f>'Результативность по предметам'!K6+нерезульт.выступление!H6+'Похвальные листы Школы Предметы'!F4</f>
        <v>2</v>
      </c>
      <c r="I6" s="8">
        <f>'Результативность по предметам'!M6+нерезульт.выступление!J6+'Похвальные листы Школы Предметы'!H4</f>
        <v>2</v>
      </c>
      <c r="J6" s="8">
        <f>'Результативность по предметам'!N6+нерезульт.выступление!K6+'Похвальные листы Школы Предметы'!I4</f>
        <v>0</v>
      </c>
      <c r="K6" s="8">
        <f>'Результативность по предметам'!O6+нерезульт.выступление!L6+'Похвальные листы Школы Предметы'!J4</f>
        <v>4</v>
      </c>
      <c r="L6" s="8">
        <f>'Результативность по предметам'!P6+нерезульт.выступление!M6+'Похвальные листы Школы Предметы'!K4</f>
        <v>3</v>
      </c>
      <c r="M6" s="8">
        <f>'Результативность по предметам'!Q6+нерезульт.выступление!N6+'Похвальные листы Школы Предметы'!L4</f>
        <v>2</v>
      </c>
      <c r="N6" s="8">
        <f>'Результативность по предметам'!R6+нерезульт.выступление!O6+'Похвальные листы Школы Предметы'!M4</f>
        <v>4</v>
      </c>
      <c r="O6" s="8">
        <f>'Результативность по предметам'!S6+нерезульт.выступление!P6+'Похвальные листы Школы Предметы'!N4</f>
        <v>1</v>
      </c>
      <c r="P6" s="8">
        <f>'Результативность по предметам'!T6+нерезульт.выступление!Q6+'Похвальные листы Школы Предметы'!O4</f>
        <v>0</v>
      </c>
      <c r="Q6" s="8">
        <f>'Результативность по предметам'!U6+нерезульт.выступление!R6+'Похвальные листы Школы Предметы'!P4</f>
        <v>2</v>
      </c>
      <c r="R6" s="8">
        <f>'Результативность по предметам'!V6+нерезульт.выступление!S6+'Похвальные листы Школы Предметы'!Q4</f>
        <v>3</v>
      </c>
      <c r="S6" s="8">
        <f>'Результативность по предметам'!W6+нерезульт.выступление!T6+'Похвальные листы Школы Предметы'!R4</f>
        <v>4</v>
      </c>
      <c r="T6" s="8">
        <f>'Результативность по предметам'!X6+нерезульт.выступление!U6+'Похвальные листы Школы Предметы'!S4</f>
        <v>4</v>
      </c>
      <c r="U6" s="49">
        <f>'Похвальные листы Школы Предметы'!C4</f>
        <v>6</v>
      </c>
      <c r="X6" s="50"/>
    </row>
    <row r="7" spans="1:24" ht="15.75" customHeight="1" x14ac:dyDescent="0.25">
      <c r="A7" s="7" t="s">
        <v>86</v>
      </c>
      <c r="B7" s="76">
        <v>63</v>
      </c>
      <c r="C7" s="3">
        <f>'Предварительная Результативност'!H6</f>
        <v>23</v>
      </c>
      <c r="D7" s="10">
        <f t="shared" si="0"/>
        <v>0.2608695652173913</v>
      </c>
      <c r="E7" s="40">
        <f>'Результативность по предметам'!E7</f>
        <v>6</v>
      </c>
      <c r="F7" s="8">
        <f>'Результативность по предметам'!I7+нерезульт.выступление!F7+'Похвальные листы Школы Предметы'!D5</f>
        <v>2</v>
      </c>
      <c r="G7" s="8">
        <f>'Результативность по предметам'!J7+нерезульт.выступление!G7+'Похвальные листы Школы Предметы'!E5</f>
        <v>4</v>
      </c>
      <c r="H7" s="8">
        <f>'Результативность по предметам'!K7+нерезульт.выступление!H7+'Похвальные листы Школы Предметы'!F5</f>
        <v>4</v>
      </c>
      <c r="I7" s="8">
        <f>'Результативность по предметам'!M7+нерезульт.выступление!J7+'Похвальные листы Школы Предметы'!H5</f>
        <v>3</v>
      </c>
      <c r="J7" s="8">
        <f>'Результативность по предметам'!N7+нерезульт.выступление!K7+'Похвальные листы Школы Предметы'!I5</f>
        <v>0</v>
      </c>
      <c r="K7" s="8">
        <f>'Результативность по предметам'!O7+нерезульт.выступление!L7+'Похвальные листы Школы Предметы'!J5</f>
        <v>1</v>
      </c>
      <c r="L7" s="8">
        <f>'Результативность по предметам'!P7+нерезульт.выступление!M7+'Похвальные листы Школы Предметы'!K5</f>
        <v>0</v>
      </c>
      <c r="M7" s="8">
        <f>'Результативность по предметам'!Q7+нерезульт.выступление!N7+'Похвальные листы Школы Предметы'!L5</f>
        <v>1</v>
      </c>
      <c r="N7" s="8">
        <f>'Результативность по предметам'!R7+нерезульт.выступление!O7+'Похвальные листы Школы Предметы'!M5</f>
        <v>2</v>
      </c>
      <c r="O7" s="8">
        <f>'Результативность по предметам'!S7+нерезульт.выступление!P7+'Похвальные листы Школы Предметы'!N5</f>
        <v>1</v>
      </c>
      <c r="P7" s="8">
        <f>'Результативность по предметам'!T7+нерезульт.выступление!Q7+'Похвальные листы Школы Предметы'!O5</f>
        <v>0</v>
      </c>
      <c r="Q7" s="8">
        <f>'Результативность по предметам'!U7+нерезульт.выступление!R7+'Похвальные листы Школы Предметы'!P5</f>
        <v>2</v>
      </c>
      <c r="R7" s="8">
        <f>'Результативность по предметам'!V7+нерезульт.выступление!S7+'Похвальные листы Школы Предметы'!Q5</f>
        <v>0</v>
      </c>
      <c r="S7" s="8">
        <f>'Результативность по предметам'!W7+нерезульт.выступление!T7+'Похвальные листы Школы Предметы'!R5</f>
        <v>0</v>
      </c>
      <c r="T7" s="8">
        <f>'Результативность по предметам'!X7+нерезульт.выступление!U7+'Похвальные листы Школы Предметы'!S5</f>
        <v>3</v>
      </c>
      <c r="U7" s="49">
        <f>'Похвальные листы Школы Предметы'!C5</f>
        <v>11</v>
      </c>
    </row>
    <row r="8" spans="1:24" ht="15.75" customHeight="1" x14ac:dyDescent="0.25">
      <c r="A8" s="7" t="s">
        <v>144</v>
      </c>
      <c r="B8" s="76">
        <v>3</v>
      </c>
      <c r="C8" s="3">
        <f>'Предварительная Результативност'!H7</f>
        <v>2</v>
      </c>
      <c r="D8" s="10">
        <f t="shared" si="0"/>
        <v>0</v>
      </c>
      <c r="E8" s="40">
        <f>'Результативность по предметам'!E8</f>
        <v>0</v>
      </c>
      <c r="F8" s="8">
        <f>'Результативность по предметам'!I8+нерезульт.выступление!F8+'Похвальные листы Школы Предметы'!D6</f>
        <v>0</v>
      </c>
      <c r="G8" s="8">
        <f>'Результативность по предметам'!J8+нерезульт.выступление!G8+'Похвальные листы Школы Предметы'!E6</f>
        <v>0</v>
      </c>
      <c r="H8" s="8">
        <f>'Результативность по предметам'!K8+нерезульт.выступление!H8+'Похвальные листы Школы Предметы'!F6</f>
        <v>0</v>
      </c>
      <c r="I8" s="8">
        <f>'Результативность по предметам'!M8+нерезульт.выступление!J8+'Похвальные листы Школы Предметы'!H6</f>
        <v>0</v>
      </c>
      <c r="J8" s="8">
        <f>'Результативность по предметам'!N8+нерезульт.выступление!K8+'Похвальные листы Школы Предметы'!I6</f>
        <v>0</v>
      </c>
      <c r="K8" s="8">
        <f>'Результативность по предметам'!O8+нерезульт.выступление!L8+'Похвальные листы Школы Предметы'!J6</f>
        <v>0</v>
      </c>
      <c r="L8" s="8">
        <f>'Результативность по предметам'!P8+нерезульт.выступление!M8+'Похвальные листы Школы Предметы'!K6</f>
        <v>0</v>
      </c>
      <c r="M8" s="8">
        <f>'Результативность по предметам'!Q8+нерезульт.выступление!N8+'Похвальные листы Школы Предметы'!L6</f>
        <v>1</v>
      </c>
      <c r="N8" s="8">
        <f>'Результативность по предметам'!R8+нерезульт.выступление!O8+'Похвальные листы Школы Предметы'!M6</f>
        <v>0</v>
      </c>
      <c r="O8" s="8">
        <f>'Результативность по предметам'!S8+нерезульт.выступление!P8+'Похвальные листы Школы Предметы'!N6</f>
        <v>0</v>
      </c>
      <c r="P8" s="8">
        <f>'Результативность по предметам'!T8+нерезульт.выступление!Q8+'Похвальные листы Школы Предметы'!O6</f>
        <v>0</v>
      </c>
      <c r="Q8" s="8">
        <f>'Результативность по предметам'!U8+нерезульт.выступление!R8+'Похвальные листы Школы Предметы'!P6</f>
        <v>0</v>
      </c>
      <c r="R8" s="8">
        <f>'Результативность по предметам'!V8+нерезульт.выступление!S8+'Похвальные листы Школы Предметы'!Q6</f>
        <v>0</v>
      </c>
      <c r="S8" s="8">
        <f>'Результативность по предметам'!W8+нерезульт.выступление!T8+'Похвальные листы Школы Предметы'!R6</f>
        <v>0</v>
      </c>
      <c r="T8" s="8">
        <f>'Результативность по предметам'!X8+нерезульт.выступление!U8+'Похвальные листы Школы Предметы'!S6</f>
        <v>1</v>
      </c>
      <c r="U8" s="49">
        <f>'Похвальные листы Школы Предметы'!C6</f>
        <v>2</v>
      </c>
    </row>
    <row r="9" spans="1:24" ht="15.75" customHeight="1" x14ac:dyDescent="0.25">
      <c r="A9" s="7" t="s">
        <v>145</v>
      </c>
      <c r="B9" s="76">
        <v>5</v>
      </c>
      <c r="C9" s="3">
        <f>'Предварительная Результативност'!H8</f>
        <v>0</v>
      </c>
      <c r="D9" s="10" t="e">
        <f t="shared" si="0"/>
        <v>#DIV/0!</v>
      </c>
      <c r="E9" s="40">
        <f>'Результативность по предметам'!E9</f>
        <v>0</v>
      </c>
      <c r="F9" s="8">
        <f>'Результативность по предметам'!I9+нерезульт.выступление!F9+'Похвальные листы Школы Предметы'!D7</f>
        <v>0</v>
      </c>
      <c r="G9" s="8">
        <f>'Результативность по предметам'!J9+нерезульт.выступление!G9+'Похвальные листы Школы Предметы'!E7</f>
        <v>0</v>
      </c>
      <c r="H9" s="8">
        <f>'Результативность по предметам'!K9+нерезульт.выступление!H9+'Похвальные листы Школы Предметы'!F7</f>
        <v>0</v>
      </c>
      <c r="I9" s="8">
        <f>'Результативность по предметам'!M9+нерезульт.выступление!J9+'Похвальные листы Школы Предметы'!H7</f>
        <v>0</v>
      </c>
      <c r="J9" s="8">
        <f>'Результативность по предметам'!N9+нерезульт.выступление!K9+'Похвальные листы Школы Предметы'!I7</f>
        <v>0</v>
      </c>
      <c r="K9" s="8">
        <f>'Результативность по предметам'!O9+нерезульт.выступление!L9+'Похвальные листы Школы Предметы'!J7</f>
        <v>0</v>
      </c>
      <c r="L9" s="8">
        <f>'Результативность по предметам'!P9+нерезульт.выступление!M9+'Похвальные листы Школы Предметы'!K7</f>
        <v>0</v>
      </c>
      <c r="M9" s="8">
        <f>'Результативность по предметам'!Q9+нерезульт.выступление!N9+'Похвальные листы Школы Предметы'!L7</f>
        <v>0</v>
      </c>
      <c r="N9" s="8">
        <f>'Результативность по предметам'!R9+нерезульт.выступление!O9+'Похвальные листы Школы Предметы'!M7</f>
        <v>0</v>
      </c>
      <c r="O9" s="8">
        <f>'Результативность по предметам'!S9+нерезульт.выступление!P9+'Похвальные листы Школы Предметы'!N7</f>
        <v>0</v>
      </c>
      <c r="P9" s="8">
        <f>'Результативность по предметам'!T9+нерезульт.выступление!Q9+'Похвальные листы Школы Предметы'!O7</f>
        <v>0</v>
      </c>
      <c r="Q9" s="8">
        <f>'Результативность по предметам'!U9+нерезульт.выступление!R9+'Похвальные листы Школы Предметы'!P7</f>
        <v>0</v>
      </c>
      <c r="R9" s="8">
        <f>'Результативность по предметам'!V9+нерезульт.выступление!S9+'Похвальные листы Школы Предметы'!Q7</f>
        <v>0</v>
      </c>
      <c r="S9" s="8">
        <f>'Результативность по предметам'!W9+нерезульт.выступление!T9+'Похвальные листы Школы Предметы'!R7</f>
        <v>0</v>
      </c>
      <c r="T9" s="8">
        <f>'Результативность по предметам'!X9+нерезульт.выступление!U9+'Похвальные листы Школы Предметы'!S7</f>
        <v>0</v>
      </c>
      <c r="U9" s="49">
        <f>'Похвальные листы Школы Предметы'!C7</f>
        <v>0</v>
      </c>
    </row>
    <row r="10" spans="1:24" ht="15.75" customHeight="1" x14ac:dyDescent="0.25">
      <c r="A10" s="7" t="s">
        <v>146</v>
      </c>
      <c r="B10" s="76">
        <v>25</v>
      </c>
      <c r="C10" s="3">
        <f>'Предварительная Результативност'!H9</f>
        <v>12</v>
      </c>
      <c r="D10" s="10">
        <f t="shared" si="0"/>
        <v>8.3333333333333329E-2</v>
      </c>
      <c r="E10" s="40">
        <f>'Результативность по предметам'!E10</f>
        <v>1</v>
      </c>
      <c r="F10" s="8">
        <f>'Результативность по предметам'!I10+нерезульт.выступление!F10+'Похвальные листы Школы Предметы'!D8</f>
        <v>0</v>
      </c>
      <c r="G10" s="8">
        <f>'Результативность по предметам'!J10+нерезульт.выступление!G10+'Похвальные листы Школы Предметы'!E8</f>
        <v>0</v>
      </c>
      <c r="H10" s="8">
        <f>'Результативность по предметам'!K10+нерезульт.выступление!H10+'Похвальные листы Школы Предметы'!F8</f>
        <v>0</v>
      </c>
      <c r="I10" s="8">
        <f>'Результативность по предметам'!M10+нерезульт.выступление!J10+'Похвальные листы Школы Предметы'!H8</f>
        <v>0</v>
      </c>
      <c r="J10" s="8">
        <f>'Результативность по предметам'!N10+нерезульт.выступление!K10+'Похвальные листы Школы Предметы'!I8</f>
        <v>0</v>
      </c>
      <c r="K10" s="8">
        <f>'Результативность по предметам'!O10+нерезульт.выступление!L10+'Похвальные листы Школы Предметы'!J8</f>
        <v>0</v>
      </c>
      <c r="L10" s="8">
        <f>'Результативность по предметам'!P10+нерезульт.выступление!M10+'Похвальные листы Школы Предметы'!K8</f>
        <v>3</v>
      </c>
      <c r="M10" s="8">
        <f>'Результативность по предметам'!Q10+нерезульт.выступление!N10+'Похвальные листы Школы Предметы'!L8</f>
        <v>3</v>
      </c>
      <c r="N10" s="8">
        <f>'Результативность по предметам'!R10+нерезульт.выступление!O10+'Похвальные листы Школы Предметы'!M8</f>
        <v>3</v>
      </c>
      <c r="O10" s="8">
        <f>'Результативность по предметам'!S10+нерезульт.выступление!P10+'Похвальные листы Школы Предметы'!N8</f>
        <v>0</v>
      </c>
      <c r="P10" s="8">
        <f>'Результативность по предметам'!T10+нерезульт.выступление!Q10+'Похвальные листы Школы Предметы'!O8</f>
        <v>0</v>
      </c>
      <c r="Q10" s="8">
        <f>'Результативность по предметам'!U10+нерезульт.выступление!R10+'Похвальные листы Школы Предметы'!P8</f>
        <v>1</v>
      </c>
      <c r="R10" s="8">
        <f>'Результативность по предметам'!V10+нерезульт.выступление!S10+'Похвальные листы Школы Предметы'!Q8</f>
        <v>0</v>
      </c>
      <c r="S10" s="8">
        <f>'Результативность по предметам'!W10+нерезульт.выступление!T10+'Похвальные листы Школы Предметы'!R8</f>
        <v>0</v>
      </c>
      <c r="T10" s="8">
        <f>'Результативность по предметам'!X10+нерезульт.выступление!U10+'Похвальные листы Школы Предметы'!S8</f>
        <v>2</v>
      </c>
      <c r="U10" s="49">
        <f>'Похвальные листы Школы Предметы'!C8</f>
        <v>3</v>
      </c>
    </row>
    <row r="11" spans="1:24" ht="15.75" customHeight="1" x14ac:dyDescent="0.25">
      <c r="A11" s="7" t="s">
        <v>147</v>
      </c>
      <c r="B11" s="76">
        <v>10</v>
      </c>
      <c r="C11" s="3">
        <f>'Предварительная Результативност'!H10</f>
        <v>6</v>
      </c>
      <c r="D11" s="10">
        <f t="shared" si="0"/>
        <v>0.33333333333333331</v>
      </c>
      <c r="E11" s="40">
        <f>'Результативность по предметам'!E11</f>
        <v>2</v>
      </c>
      <c r="F11" s="8">
        <f>'Результативность по предметам'!I11+нерезульт.выступление!F11+'Похвальные листы Школы Предметы'!D9</f>
        <v>1</v>
      </c>
      <c r="G11" s="8">
        <f>'Результативность по предметам'!J11+нерезульт.выступление!G11+'Похвальные листы Школы Предметы'!E9</f>
        <v>0</v>
      </c>
      <c r="H11" s="8">
        <f>'Результативность по предметам'!K11+нерезульт.выступление!H11+'Похвальные листы Школы Предметы'!F9</f>
        <v>0</v>
      </c>
      <c r="I11" s="8">
        <f>'Результативность по предметам'!M11+нерезульт.выступление!J11+'Похвальные листы Школы Предметы'!H9</f>
        <v>0</v>
      </c>
      <c r="J11" s="8">
        <f>'Результативность по предметам'!N11+нерезульт.выступление!K11+'Похвальные листы Школы Предметы'!I9</f>
        <v>0</v>
      </c>
      <c r="K11" s="8">
        <f>'Результативность по предметам'!O11+нерезульт.выступление!L11+'Похвальные листы Школы Предметы'!J9</f>
        <v>0</v>
      </c>
      <c r="L11" s="8">
        <f>'Результативность по предметам'!P11+нерезульт.выступление!M11+'Похвальные листы Школы Предметы'!K9</f>
        <v>0</v>
      </c>
      <c r="M11" s="8">
        <f>'Результативность по предметам'!Q11+нерезульт.выступление!N11+'Похвальные листы Школы Предметы'!L9</f>
        <v>0</v>
      </c>
      <c r="N11" s="8">
        <f>'Результативность по предметам'!R11+нерезульт.выступление!O11+'Похвальные листы Школы Предметы'!M9</f>
        <v>0</v>
      </c>
      <c r="O11" s="8">
        <f>'Результативность по предметам'!S11+нерезульт.выступление!P11+'Похвальные листы Школы Предметы'!N9</f>
        <v>0</v>
      </c>
      <c r="P11" s="8">
        <f>'Результативность по предметам'!T11+нерезульт.выступление!Q11+'Похвальные листы Школы Предметы'!O9</f>
        <v>0</v>
      </c>
      <c r="Q11" s="8">
        <f>'Результативность по предметам'!U11+нерезульт.выступление!R11+'Похвальные листы Школы Предметы'!P9</f>
        <v>0</v>
      </c>
      <c r="R11" s="8">
        <f>'Результативность по предметам'!V11+нерезульт.выступление!S11+'Похвальные листы Школы Предметы'!Q9</f>
        <v>2</v>
      </c>
      <c r="S11" s="8">
        <f>'Результативность по предметам'!W11+нерезульт.выступление!T11+'Похвальные листы Школы Предметы'!R9</f>
        <v>2</v>
      </c>
      <c r="T11" s="8">
        <f>'Результативность по предметам'!X11+нерезульт.выступление!U11+'Похвальные листы Школы Предметы'!S9</f>
        <v>1</v>
      </c>
      <c r="U11" s="49">
        <f>'Похвальные листы Школы Предметы'!C9</f>
        <v>2</v>
      </c>
    </row>
    <row r="12" spans="1:24" ht="15.75" customHeight="1" x14ac:dyDescent="0.25">
      <c r="A12" s="7" t="s">
        <v>148</v>
      </c>
      <c r="B12" s="76">
        <v>2</v>
      </c>
      <c r="C12" s="3">
        <f>'Предварительная Результативност'!H11</f>
        <v>0</v>
      </c>
      <c r="D12" s="10" t="e">
        <f t="shared" si="0"/>
        <v>#DIV/0!</v>
      </c>
      <c r="E12" s="40">
        <f>'Результативность по предметам'!E12</f>
        <v>0</v>
      </c>
      <c r="F12" s="8">
        <f>'Результативность по предметам'!I12+нерезульт.выступление!F12+'Похвальные листы Школы Предметы'!D10</f>
        <v>0</v>
      </c>
      <c r="G12" s="8">
        <f>'Результативность по предметам'!J12+нерезульт.выступление!G12+'Похвальные листы Школы Предметы'!E10</f>
        <v>0</v>
      </c>
      <c r="H12" s="8">
        <f>'Результативность по предметам'!K12+нерезульт.выступление!H12+'Похвальные листы Школы Предметы'!F10</f>
        <v>0</v>
      </c>
      <c r="I12" s="8">
        <f>'Результативность по предметам'!M12+нерезульт.выступление!J12+'Похвальные листы Школы Предметы'!H10</f>
        <v>0</v>
      </c>
      <c r="J12" s="8">
        <f>'Результативность по предметам'!N12+нерезульт.выступление!K12+'Похвальные листы Школы Предметы'!I10</f>
        <v>0</v>
      </c>
      <c r="K12" s="8">
        <f>'Результативность по предметам'!O12+нерезульт.выступление!L12+'Похвальные листы Школы Предметы'!J10</f>
        <v>0</v>
      </c>
      <c r="L12" s="8">
        <f>'Результативность по предметам'!P12+нерезульт.выступление!M12+'Похвальные листы Школы Предметы'!K10</f>
        <v>0</v>
      </c>
      <c r="M12" s="8">
        <f>'Результативность по предметам'!Q12+нерезульт.выступление!N12+'Похвальные листы Школы Предметы'!L10</f>
        <v>0</v>
      </c>
      <c r="N12" s="8">
        <f>'Результативность по предметам'!R12+нерезульт.выступление!O12+'Похвальные листы Школы Предметы'!M10</f>
        <v>0</v>
      </c>
      <c r="O12" s="8">
        <f>'Результативность по предметам'!S12+нерезульт.выступление!P12+'Похвальные листы Школы Предметы'!N10</f>
        <v>0</v>
      </c>
      <c r="P12" s="8">
        <f>'Результативность по предметам'!T12+нерезульт.выступление!Q12+'Похвальные листы Школы Предметы'!O10</f>
        <v>0</v>
      </c>
      <c r="Q12" s="8">
        <f>'Результативность по предметам'!U12+нерезульт.выступление!R12+'Похвальные листы Школы Предметы'!P10</f>
        <v>0</v>
      </c>
      <c r="R12" s="8">
        <f>'Результативность по предметам'!V12+нерезульт.выступление!S12+'Похвальные листы Школы Предметы'!Q10</f>
        <v>0</v>
      </c>
      <c r="S12" s="8">
        <f>'Результативность по предметам'!W12+нерезульт.выступление!T12+'Похвальные листы Школы Предметы'!R10</f>
        <v>0</v>
      </c>
      <c r="T12" s="8">
        <f>'Результативность по предметам'!X12+нерезульт.выступление!U12+'Похвальные листы Школы Предметы'!S10</f>
        <v>0</v>
      </c>
      <c r="U12" s="49">
        <f>'Похвальные листы Школы Предметы'!C10</f>
        <v>0</v>
      </c>
    </row>
    <row r="13" spans="1:24" ht="15.75" customHeight="1" x14ac:dyDescent="0.25">
      <c r="A13" s="7" t="s">
        <v>149</v>
      </c>
      <c r="B13" s="76">
        <v>12</v>
      </c>
      <c r="C13" s="3">
        <f>'Предварительная Результативност'!H12</f>
        <v>3</v>
      </c>
      <c r="D13" s="10">
        <f t="shared" si="0"/>
        <v>0.33333333333333331</v>
      </c>
      <c r="E13" s="40">
        <f>'Результативность по предметам'!E13</f>
        <v>1</v>
      </c>
      <c r="F13" s="8">
        <f>'Результативность по предметам'!I13+нерезульт.выступление!F13+'Похвальные листы Школы Предметы'!D11</f>
        <v>1</v>
      </c>
      <c r="G13" s="8">
        <f>'Результативность по предметам'!J13+нерезульт.выступление!G13+'Похвальные листы Школы Предметы'!E11</f>
        <v>0</v>
      </c>
      <c r="H13" s="8">
        <f>'Результативность по предметам'!K13+нерезульт.выступление!H13+'Похвальные листы Школы Предметы'!F11</f>
        <v>0</v>
      </c>
      <c r="I13" s="8">
        <f>'Результативность по предметам'!M13+нерезульт.выступление!J13+'Похвальные листы Школы Предметы'!H11</f>
        <v>0</v>
      </c>
      <c r="J13" s="8">
        <f>'Результативность по предметам'!N13+нерезульт.выступление!K13+'Похвальные листы Школы Предметы'!I11</f>
        <v>0</v>
      </c>
      <c r="K13" s="8">
        <f>'Результативность по предметам'!O13+нерезульт.выступление!L13+'Похвальные листы Школы Предметы'!J11</f>
        <v>0</v>
      </c>
      <c r="L13" s="8">
        <f>'Результативность по предметам'!P13+нерезульт.выступление!M13+'Похвальные листы Школы Предметы'!K11</f>
        <v>0</v>
      </c>
      <c r="M13" s="8">
        <f>'Результативность по предметам'!Q13+нерезульт.выступление!N13+'Похвальные листы Школы Предметы'!L11</f>
        <v>0</v>
      </c>
      <c r="N13" s="8">
        <f>'Результативность по предметам'!R13+нерезульт.выступление!O13+'Похвальные листы Школы Предметы'!M11</f>
        <v>0</v>
      </c>
      <c r="O13" s="8">
        <f>'Результативность по предметам'!S13+нерезульт.выступление!P13+'Похвальные листы Школы Предметы'!N11</f>
        <v>0</v>
      </c>
      <c r="P13" s="8">
        <f>'Результативность по предметам'!T13+нерезульт.выступление!Q13+'Похвальные листы Школы Предметы'!O11</f>
        <v>0</v>
      </c>
      <c r="Q13" s="8">
        <f>'Результативность по предметам'!U13+нерезульт.выступление!R13+'Похвальные листы Школы Предметы'!P11</f>
        <v>0</v>
      </c>
      <c r="R13" s="8">
        <f>'Результативность по предметам'!V13+нерезульт.выступление!S13+'Похвальные листы Школы Предметы'!Q11</f>
        <v>0</v>
      </c>
      <c r="S13" s="8">
        <f>'Результативность по предметам'!W13+нерезульт.выступление!T13+'Похвальные листы Школы Предметы'!R11</f>
        <v>1</v>
      </c>
      <c r="T13" s="8">
        <f>'Результативность по предметам'!X13+нерезульт.выступление!U13+'Похвальные листы Школы Предметы'!S11</f>
        <v>1</v>
      </c>
      <c r="U13" s="49">
        <f>'Похвальные листы Школы Предметы'!C11</f>
        <v>1</v>
      </c>
    </row>
    <row r="14" spans="1:24" ht="31.5" customHeight="1" x14ac:dyDescent="0.25">
      <c r="A14" s="122" t="s">
        <v>34</v>
      </c>
      <c r="B14" s="123">
        <f>SUM(B5:B13)</f>
        <v>336</v>
      </c>
      <c r="C14" s="124">
        <f>SUM(C5:C13)</f>
        <v>123</v>
      </c>
      <c r="D14" s="94">
        <f t="shared" si="0"/>
        <v>0.25203252032520324</v>
      </c>
      <c r="E14" s="95">
        <f>'Результативность по предметам'!E14</f>
        <v>31</v>
      </c>
      <c r="F14" s="110">
        <f t="shared" ref="F14:U14" si="1">SUM(F5:F13)</f>
        <v>13</v>
      </c>
      <c r="G14" s="110">
        <f t="shared" si="1"/>
        <v>10</v>
      </c>
      <c r="H14" s="120">
        <f t="shared" si="1"/>
        <v>8</v>
      </c>
      <c r="I14" s="126">
        <f t="shared" si="1"/>
        <v>8</v>
      </c>
      <c r="J14" s="110">
        <f t="shared" si="1"/>
        <v>0</v>
      </c>
      <c r="K14" s="127">
        <f t="shared" si="1"/>
        <v>8</v>
      </c>
      <c r="L14" s="110">
        <f t="shared" si="1"/>
        <v>10</v>
      </c>
      <c r="M14" s="128">
        <f t="shared" si="1"/>
        <v>10</v>
      </c>
      <c r="N14" s="129">
        <f t="shared" si="1"/>
        <v>16</v>
      </c>
      <c r="O14" s="114">
        <f t="shared" si="1"/>
        <v>2</v>
      </c>
      <c r="P14" s="125">
        <f t="shared" si="1"/>
        <v>1</v>
      </c>
      <c r="Q14" s="130">
        <f t="shared" si="1"/>
        <v>8</v>
      </c>
      <c r="R14" s="131">
        <f t="shared" si="1"/>
        <v>5</v>
      </c>
      <c r="S14" s="116">
        <f t="shared" si="1"/>
        <v>8</v>
      </c>
      <c r="T14" s="130">
        <f t="shared" si="1"/>
        <v>16</v>
      </c>
      <c r="U14" s="132">
        <f t="shared" si="1"/>
        <v>38</v>
      </c>
      <c r="V14" s="17"/>
      <c r="W14" s="133">
        <f>SUM(F14:T14)</f>
        <v>123</v>
      </c>
    </row>
    <row r="17" spans="7:20" x14ac:dyDescent="0.25">
      <c r="G17" s="17">
        <f>E14+U14</f>
        <v>69</v>
      </c>
      <c r="H17" s="17">
        <f>SUM(F14:T14)</f>
        <v>123</v>
      </c>
      <c r="T17" s="17">
        <f>SUM(F14:T14)</f>
        <v>123</v>
      </c>
    </row>
  </sheetData>
  <mergeCells count="23">
    <mergeCell ref="T3:T4"/>
    <mergeCell ref="S3:S4"/>
    <mergeCell ref="G3:G4"/>
    <mergeCell ref="H3:H4"/>
    <mergeCell ref="I3:I4"/>
    <mergeCell ref="J3:J4"/>
    <mergeCell ref="R3:R4"/>
    <mergeCell ref="A1:U1"/>
    <mergeCell ref="Q3:Q4"/>
    <mergeCell ref="L3:L4"/>
    <mergeCell ref="M3:M4"/>
    <mergeCell ref="N3:N4"/>
    <mergeCell ref="O3:O4"/>
    <mergeCell ref="P3:P4"/>
    <mergeCell ref="K3:K4"/>
    <mergeCell ref="A2:A4"/>
    <mergeCell ref="B2:B4"/>
    <mergeCell ref="C2:C4"/>
    <mergeCell ref="D2:D4"/>
    <mergeCell ref="E2:E4"/>
    <mergeCell ref="U2:U4"/>
    <mergeCell ref="F3:F4"/>
    <mergeCell ref="F2:T2"/>
  </mergeCells>
  <pageMargins left="0.19685039370078741" right="0.19685039370078741" top="1.7322834645669292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22"/>
  <sheetViews>
    <sheetView zoomScale="110" zoomScaleNormal="110" workbookViewId="0">
      <selection activeCell="W6" sqref="W6"/>
    </sheetView>
  </sheetViews>
  <sheetFormatPr defaultRowHeight="15" x14ac:dyDescent="0.25"/>
  <cols>
    <col min="1" max="1" width="24.28515625" style="13" customWidth="1"/>
    <col min="2" max="2" width="5.5703125" style="13" customWidth="1"/>
    <col min="3" max="3" width="5.28515625" style="13" customWidth="1"/>
    <col min="4" max="4" width="10.42578125" style="13" customWidth="1"/>
    <col min="5" max="7" width="5.28515625" style="13" customWidth="1"/>
    <col min="8" max="8" width="4.85546875" style="13" customWidth="1"/>
    <col min="9" max="9" width="3.85546875" style="13" customWidth="1"/>
    <col min="10" max="10" width="5.28515625" style="13" customWidth="1"/>
    <col min="11" max="11" width="4.5703125" style="13" customWidth="1"/>
    <col min="12" max="12" width="4.7109375" style="13" customWidth="1"/>
    <col min="13" max="13" width="5.7109375" style="13" customWidth="1"/>
    <col min="14" max="14" width="4.28515625" style="13" customWidth="1"/>
    <col min="15" max="15" width="4.140625" style="13" customWidth="1"/>
    <col min="16" max="16" width="5.5703125" style="13" customWidth="1"/>
    <col min="17" max="21" width="5" style="13" customWidth="1"/>
    <col min="22" max="22" width="5.28515625" style="13" customWidth="1"/>
    <col min="23" max="23" width="4" style="13" customWidth="1"/>
    <col min="24" max="16384" width="9.140625" style="13"/>
  </cols>
  <sheetData>
    <row r="1" spans="1:23" ht="63.75" customHeight="1" thickBot="1" x14ac:dyDescent="0.3">
      <c r="A1" s="303" t="s">
        <v>285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5"/>
    </row>
    <row r="2" spans="1:23" ht="20.25" customHeight="1" x14ac:dyDescent="0.25">
      <c r="A2" s="317" t="s">
        <v>89</v>
      </c>
      <c r="B2" s="306" t="s">
        <v>142</v>
      </c>
      <c r="C2" s="307" t="s">
        <v>24</v>
      </c>
      <c r="D2" s="308" t="s">
        <v>35</v>
      </c>
      <c r="E2" s="309" t="s">
        <v>71</v>
      </c>
      <c r="F2" s="318" t="s">
        <v>75</v>
      </c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20"/>
      <c r="V2" s="310" t="s">
        <v>74</v>
      </c>
      <c r="W2" s="313" t="s">
        <v>20</v>
      </c>
    </row>
    <row r="3" spans="1:23" ht="20.25" customHeight="1" x14ac:dyDescent="0.25">
      <c r="A3" s="225"/>
      <c r="B3" s="287"/>
      <c r="C3" s="227"/>
      <c r="D3" s="228"/>
      <c r="E3" s="309"/>
      <c r="F3" s="231" t="s">
        <v>25</v>
      </c>
      <c r="G3" s="232" t="s">
        <v>26</v>
      </c>
      <c r="H3" s="233" t="s">
        <v>27</v>
      </c>
      <c r="I3" s="316" t="s">
        <v>28</v>
      </c>
      <c r="J3" s="235" t="s">
        <v>29</v>
      </c>
      <c r="K3" s="224" t="s">
        <v>30</v>
      </c>
      <c r="L3" s="239" t="s">
        <v>31</v>
      </c>
      <c r="M3" s="240" t="s">
        <v>32</v>
      </c>
      <c r="N3" s="224" t="s">
        <v>33</v>
      </c>
      <c r="O3" s="241" t="s">
        <v>37</v>
      </c>
      <c r="P3" s="233" t="s">
        <v>38</v>
      </c>
      <c r="Q3" s="236" t="s">
        <v>39</v>
      </c>
      <c r="R3" s="235" t="s">
        <v>40</v>
      </c>
      <c r="S3" s="271" t="s">
        <v>90</v>
      </c>
      <c r="T3" s="315" t="s">
        <v>91</v>
      </c>
      <c r="U3" s="273" t="s">
        <v>85</v>
      </c>
      <c r="V3" s="311"/>
      <c r="W3" s="313"/>
    </row>
    <row r="4" spans="1:23" ht="102.75" customHeight="1" x14ac:dyDescent="0.25">
      <c r="A4" s="225"/>
      <c r="B4" s="287"/>
      <c r="C4" s="227"/>
      <c r="D4" s="228"/>
      <c r="E4" s="268"/>
      <c r="F4" s="231"/>
      <c r="G4" s="232"/>
      <c r="H4" s="233"/>
      <c r="I4" s="316"/>
      <c r="J4" s="235"/>
      <c r="K4" s="224"/>
      <c r="L4" s="239"/>
      <c r="M4" s="240"/>
      <c r="N4" s="224"/>
      <c r="O4" s="241"/>
      <c r="P4" s="233"/>
      <c r="Q4" s="236"/>
      <c r="R4" s="235"/>
      <c r="S4" s="272"/>
      <c r="T4" s="315"/>
      <c r="U4" s="274"/>
      <c r="V4" s="312"/>
      <c r="W4" s="314"/>
    </row>
    <row r="5" spans="1:23" ht="15" customHeight="1" x14ac:dyDescent="0.25">
      <c r="A5" s="7" t="s">
        <v>12</v>
      </c>
      <c r="B5" s="76">
        <v>109</v>
      </c>
      <c r="C5" s="3">
        <f>'Предварительная Результативност'!H4</f>
        <v>40</v>
      </c>
      <c r="D5" s="78">
        <f t="shared" ref="D5:D13" si="0">E5/C5</f>
        <v>0.35</v>
      </c>
      <c r="E5" s="14">
        <f>'Результативность по предметам'!E5</f>
        <v>14</v>
      </c>
      <c r="F5" s="8">
        <f>COUNTIFS('Самопроверка по школам'!$D$2:$D$131,"СШ №1 г.Сенно",'Самопроверка по школам'!$E$2:$E$131,"бел.яз и лит.",'Самопроверка по школам'!$J$2:$J$131,"")</f>
        <v>1</v>
      </c>
      <c r="G5" s="8">
        <f>COUNTIFS('Самопроверка по школам'!$D$2:$D$131,"СШ №1 г.Сенно",'Самопроверка по школам'!$E$2:$E$131,"Русский язык и литература",'Самопроверка по школам'!$J$2:$J$131,"")</f>
        <v>1</v>
      </c>
      <c r="H5" s="8">
        <f>COUNTIFS('Самопроверка по школам'!$J$2:$J$131,"",'Самопроверка по школам'!$E$2:$E$131,"Английский язык",'Самопроверка по школам'!$D$2:$D$131,"СШ №1 г.Сенно")</f>
        <v>0</v>
      </c>
      <c r="I5" s="8">
        <f>COUNTIFS('Самопроверка по школам'!$J$2:$J$131,"",'Самопроверка по школам'!$E$2:$E$131,"нем.яз.",'Самопроверка по школам'!$D$2:$D$131,"СШ №1 г.Сенно")</f>
        <v>0</v>
      </c>
      <c r="J5" s="8">
        <f>COUNTIFS('Самопроверка по школам'!$D$2:$D$131,"СШ №1 г.Сенно",'Самопроверка по школам'!$E$2:$E$131,"математика",'Самопроверка по школам'!$J$2:$J$131,"")</f>
        <v>2</v>
      </c>
      <c r="K5" s="8">
        <f>COUNTIFS('Самопроверка по школам'!$D$2:$D$131,"СШ №1 г.Сенно",'Самопроверка по школам'!$E$2:$E$131,"информатика",'Самопроверка по школам'!$J$2:$J$131,"")</f>
        <v>0</v>
      </c>
      <c r="L5" s="8">
        <f>COUNTIFS('Самопроверка по школам'!$D$2:$D$131,"СШ №1 г.Сенно",'Самопроверка по школам'!$E$2:$E$131,"история",'Самопроверка по школам'!$J$2:$J$131,"")</f>
        <v>1</v>
      </c>
      <c r="M5" s="8">
        <f>COUNTIFS('Самопроверка по школам'!$D$2:$D$131,"СШ №1 г.Сенно",'Самопроверка по школам'!$E$2:$E$131,"обществоведение",'Самопроверка по школам'!$J$2:$J$131,"")</f>
        <v>2</v>
      </c>
      <c r="N5" s="8">
        <f>COUNTIFS('Самопроверка по школам'!$D$2:$D$131,"СШ №1 г.Сенно",'Самопроверка по школам'!$E$2:$E$131,"география",'Самопроверка по школам'!$J$2:$J$131,"")</f>
        <v>0</v>
      </c>
      <c r="O5" s="8">
        <f>COUNTIFS('Самопроверка по школам'!$J$2:$J$131,"",'Самопроверка по школам'!$E$2:$E$131,"Биология",'Самопроверка по школам'!$D$2:$D$131,"СШ №1 г.Сенно")</f>
        <v>3</v>
      </c>
      <c r="P5" s="8">
        <f>COUNTIFS('Самопроверка по школам'!$D$2:$D$131,"СШ №1 г.Сенно",'Самопроверка по школам'!$E$2:$E$131,"физика",'Самопроверка по школам'!$J$2:$J$131,"")</f>
        <v>0</v>
      </c>
      <c r="Q5" s="8">
        <f>COUNTIFS('Самопроверка по школам'!$J$2:$J$131,"",'Самопроверка по школам'!$E$2:$E$131,"астрономия",'Самопроверка по школам'!$D$2:$D$131,"СШ №1 г.Сенно")</f>
        <v>1</v>
      </c>
      <c r="R5" s="8">
        <f>COUNTIFS('Самопроверка по школам'!$J$2:$J$131,"",'Самопроверка по школам'!$E$2:$E$131,"химия",'Самопроверка по школам'!$D$2:$D$131,"СШ №1 г.Сенно")</f>
        <v>1</v>
      </c>
      <c r="S5" s="8">
        <f>COUNTIFS('Самопроверка по школам'!$J$2:$J$131,"",'Самопроверка по школам'!$E$2:$E$131,"Труд обслуживающий",'Самопроверка по школам'!$D$2:$D$131,"СШ №1 г.Сенно")</f>
        <v>0</v>
      </c>
      <c r="T5" s="8">
        <f>COUNTIFS('Самопроверка по школам'!$J$2:$J$131,"",'Самопроверка по школам'!$E$2:$E$131,"Труд  технический",'Самопроверка по школам'!$D$2:$D$131,"СШ №1 г.Сенно")</f>
        <v>1</v>
      </c>
      <c r="U5" s="8">
        <f>COUNTIFS('Самопроверка по школам'!$J$2:$J$131,"",'Самопроверка по школам'!$E$2:$E$131,"физическая культура и здоровье",'Самопроверка по школам'!$D$2:$D$131,"СШ №1 г.Сенно")</f>
        <v>0</v>
      </c>
      <c r="V5" s="15">
        <f>SUM(F5:U5)</f>
        <v>13</v>
      </c>
      <c r="W5" s="16">
        <f>C5-E5-V5</f>
        <v>13</v>
      </c>
    </row>
    <row r="6" spans="1:23" ht="15.75" customHeight="1" x14ac:dyDescent="0.25">
      <c r="A6" s="7" t="s">
        <v>10</v>
      </c>
      <c r="B6" s="76">
        <v>107</v>
      </c>
      <c r="C6" s="3">
        <f>'Предварительная Результативност'!H5</f>
        <v>37</v>
      </c>
      <c r="D6" s="78">
        <f t="shared" si="0"/>
        <v>0.1891891891891892</v>
      </c>
      <c r="E6" s="14">
        <f>'Результативность по предметам'!E6</f>
        <v>7</v>
      </c>
      <c r="F6" s="8">
        <f>COUNTIFS('Самопроверка по школам'!$D$2:$D$131,"СШ №2г.Сенно",'Самопроверка по школам'!$E$2:$E$131,"бел.яз и лит.",'Самопроверка по школам'!$J$2:$J$131,"")</f>
        <v>4</v>
      </c>
      <c r="G6" s="8">
        <f>COUNTIFS('Самопроверка по школам'!$D$2:$D$131,"СШ №2г.Сенно",'Самопроверка по школам'!$E$2:$E$131,"Русский язык и литература",'Самопроверка по школам'!$J$2:$J$131,"")</f>
        <v>2</v>
      </c>
      <c r="H6" s="8">
        <f>COUNTIFS('Самопроверка по школам'!$J$2:$J$131,"",'Самопроверка по школам'!$E$2:$E$131,"Английский язык",'Самопроверка по школам'!$D$2:$D$131,"СШ №2г.Сенно")</f>
        <v>1</v>
      </c>
      <c r="I6" s="8">
        <f>COUNTIFS('Самопроверка по школам'!$J$2:$J$131,"",'Самопроверка по школам'!$E$2:$E$131,"нем.яз.",'Самопроверка по школам'!$D$2:$D$131,"СШ №2г.Сенно")</f>
        <v>0</v>
      </c>
      <c r="J6" s="8">
        <f>COUNTIFS('Самопроверка по школам'!$D$2:$D$131,"СШ №2г.Сенно",'Самопроверка по школам'!$E$2:$E$131,"математика",'Самопроверка по школам'!$J$2:$J$131,"")</f>
        <v>2</v>
      </c>
      <c r="K6" s="8">
        <f>COUNTIFS('Самопроверка по школам'!$D$2:$D$131,"СШ №2г.Сенно",'Самопроверка по школам'!$E$2:$E$131,"информатика",'Самопроверка по школам'!$J$2:$J$131,"")</f>
        <v>0</v>
      </c>
      <c r="L6" s="8">
        <f>COUNTIFS('Самопроверка по школам'!$D$2:$D$131,"СШ №2г.Сенно",'Самопроверка по школам'!$E$2:$E$131,"история",'Самопроверка по школам'!$J$2:$J$131,"")</f>
        <v>3</v>
      </c>
      <c r="M6" s="8">
        <f>COUNTIFS('Самопроверка по школам'!$D$2:$D$131,"СШ №2г.Сенно",'Самопроверка по школам'!$E$2:$E$131,"обществоведение",'Самопроверка по школам'!$J$2:$J$131,"")</f>
        <v>3</v>
      </c>
      <c r="N6" s="8">
        <f>COUNTIFS('Самопроверка по школам'!$D$2:$D$131,"СШ №2г.Сенно",'Самопроверка по школам'!$E$2:$E$131,"география",'Самопроверка по школам'!$J$2:$J$131,"")</f>
        <v>1</v>
      </c>
      <c r="O6" s="8">
        <f>COUNTIFS('Самопроверка по школам'!$J$2:$J$131,"",'Самопроверка по школам'!$E$2:$E$131,"Биология",'Самопроверка по школам'!$D$2:$D$131,"СШ №2г.Сенно")</f>
        <v>3</v>
      </c>
      <c r="P6" s="8">
        <f>COUNTIFS('Самопроверка по школам'!$D$2:$D$131,"СШ №2г.Сенно",'Самопроверка по школам'!$E$2:$E$131,"физика",'Самопроверка по школам'!$J$2:$J$131,"")</f>
        <v>1</v>
      </c>
      <c r="Q6" s="8">
        <f>COUNTIFS('Самопроверка по школам'!$J$2:$J$131,"",'Самопроверка по школам'!$E$2:$E$131,"астрономия",'Самопроверка по школам'!$D$2:$D$131,"СШ №2г.Сенно")</f>
        <v>0</v>
      </c>
      <c r="R6" s="8">
        <f>COUNTIFS('Самопроверка по школам'!$J$2:$J$131,"",'Самопроверка по школам'!$E$2:$E$131,"химия",'Самопроверка по школам'!$D$2:$D$131,"СШ №2г.Сенно")</f>
        <v>2</v>
      </c>
      <c r="S6" s="8">
        <f>COUNTIFS('Самопроверка по школам'!$J$2:$J$131,"",'Самопроверка по школам'!$E$2:$E$131,"Труд обслуживающий",'Самопроверка по школам'!$D$2:$D$131,"СШ №2г.Сенно")</f>
        <v>1</v>
      </c>
      <c r="T6" s="8">
        <f>COUNTIFS('Самопроверка по школам'!$J$2:$J$131,"",'Самопроверка по школам'!$E$2:$E$131,"Труд  технический",'Самопроверка по школам'!$D$2:$D$131,"СШ №2г.Сенно")</f>
        <v>1</v>
      </c>
      <c r="U6" s="8">
        <f>COUNTIFS('Самопроверка по школам'!$J$2:$J$131,"",'Самопроверка по школам'!$E$2:$E$131,"физическая культура и здоровье",'Самопроверка по школам'!$D$2:$D$131,"СШ №2г.Сенно")</f>
        <v>0</v>
      </c>
      <c r="V6" s="15">
        <f t="shared" ref="V6:V13" si="1">SUM(F6:U6)</f>
        <v>24</v>
      </c>
      <c r="W6" s="16">
        <f t="shared" ref="W6:W13" si="2">C6-E6-V6</f>
        <v>6</v>
      </c>
    </row>
    <row r="7" spans="1:23" ht="15.75" customHeight="1" x14ac:dyDescent="0.25">
      <c r="A7" s="7" t="s">
        <v>86</v>
      </c>
      <c r="B7" s="76">
        <v>63</v>
      </c>
      <c r="C7" s="3">
        <f>'Предварительная Результативност'!H6</f>
        <v>23</v>
      </c>
      <c r="D7" s="78">
        <f t="shared" si="0"/>
        <v>0.2608695652173913</v>
      </c>
      <c r="E7" s="14">
        <f>'Результативность по предметам'!E7</f>
        <v>6</v>
      </c>
      <c r="F7" s="8">
        <f>COUNTIFS('Самопроверка по школам'!$D$2:$D$131,"Богушевская СШ",'Самопроверка по школам'!$E$2:$E$131,"бел.яз и лит.",'Самопроверка по школам'!$J$2:$J$131,"")</f>
        <v>1</v>
      </c>
      <c r="G7" s="8">
        <f>COUNTIFS('Самопроверка по школам'!$D$2:$D$131,"Богушевская СШ",'Самопроверка по школам'!$E$2:$E$131,"Русский язык и литература",'Самопроверка по школам'!$J$2:$J$131,"")</f>
        <v>0</v>
      </c>
      <c r="H7" s="8">
        <f>COUNTIFS('Самопроверка по школам'!$J$2:$J$131,"",'Самопроверка по школам'!$E$2:$E$131,"Английский язык",'Самопроверка по школам'!$D$2:$D$131,"Богушевская СШ")</f>
        <v>1</v>
      </c>
      <c r="I7" s="8">
        <f>COUNTIFS('Самопроверка по школам'!$J$2:$J$131,"",'Самопроверка по школам'!$E$2:$E$131,"нем.яз.",'Самопроверка по школам'!$D$2:$D$131,"Богушевская СШ")</f>
        <v>0</v>
      </c>
      <c r="J7" s="8">
        <f>COUNTIFS('Самопроверка по школам'!$D$2:$D$131,"Богушевская СШ",'Самопроверка по школам'!$E$2:$E$131,"математика",'Самопроверка по школам'!$J$2:$J$131,"")</f>
        <v>3</v>
      </c>
      <c r="K7" s="8">
        <f>COUNTIFS('Самопроверка по школам'!$D$2:$D$131,"Богушевская СШ",'Самопроверка по школам'!$E$2:$E$131,"информатика",'Самопроверка по школам'!$J$2:$J$131,"")</f>
        <v>0</v>
      </c>
      <c r="L7" s="8">
        <f>COUNTIFS('Самопроверка по школам'!$D$2:$D$131,"Богушевская СШ",'Самопроверка по школам'!$E$2:$E$131,"история",'Самопроверка по школам'!$J$2:$J$131,"")</f>
        <v>0</v>
      </c>
      <c r="M7" s="8">
        <f>COUNTIFS('Самопроверка по школам'!$D$2:$D$131,"Богушевская СШ",'Самопроверка по школам'!$E$2:$E$131,"обществоведение",'Самопроверка по школам'!$J$2:$J$131,"")</f>
        <v>0</v>
      </c>
      <c r="N7" s="8">
        <f>COUNTIFS('Самопроверка по школам'!$D$2:$D$131,"Богушевская СШ",'Самопроверка по школам'!$E$2:$E$131,"география",'Самопроверка по школам'!$J$2:$J$131,"")</f>
        <v>0</v>
      </c>
      <c r="O7" s="8">
        <f>COUNTIFS('Самопроверка по школам'!$J$2:$J$131,"",'Самопроверка по школам'!$E$2:$E$131,"Биология",'Самопроверка по школам'!$D$2:$D$131,"Богушевская СШ")</f>
        <v>0</v>
      </c>
      <c r="P7" s="8">
        <f>COUNTIFS('Самопроверка по школам'!$D$2:$D$131,"Богушевская СШ",'Самопроверка по школам'!$E$2:$E$131,"физика",'Самопроверка по школам'!$J$2:$J$131,"")</f>
        <v>1</v>
      </c>
      <c r="Q7" s="8">
        <f>COUNTIFS('Самопроверка по школам'!$J$2:$J$131,"",'Самопроверка по школам'!$E$2:$E$131,"астрономия",'Самопроверка по школам'!$D$2:$D$131,"Богушевская СШ")</f>
        <v>0</v>
      </c>
      <c r="R7" s="8">
        <f>COUNTIFS('Самопроверка по школам'!$J$2:$J$131,"",'Самопроверка по школам'!$E$2:$E$131,"химия",'Самопроверка по школам'!$D$2:$D$131,"Богушевская СШ")</f>
        <v>0</v>
      </c>
      <c r="S7" s="8">
        <f>COUNTIFS('Самопроверка по школам'!$J$2:$J$131,"",'Самопроверка по школам'!$E$2:$E$131,"Труд обслуживающий",'Самопроверка по школам'!$D$2:$D$131,"Богушевская СШ")</f>
        <v>0</v>
      </c>
      <c r="T7" s="8">
        <f>COUNTIFS('Самопроверка по школам'!$J$2:$J$131,"",'Самопроверка по школам'!$E$2:$E$131,"Труд  технический",'Самопроверка по школам'!$D$2:$D$131,"Богушевская СШ")</f>
        <v>0</v>
      </c>
      <c r="U7" s="8">
        <f>COUNTIFS('Самопроверка по школам'!$J$2:$J$131,"",'Самопроверка по школам'!$E$2:$E$131,"физическая культура и здоровье",'Самопроверка по школам'!$D$2:$D$131,"Богушевская СШ")</f>
        <v>0</v>
      </c>
      <c r="V7" s="15">
        <f t="shared" si="1"/>
        <v>6</v>
      </c>
      <c r="W7" s="16">
        <f t="shared" si="2"/>
        <v>11</v>
      </c>
    </row>
    <row r="8" spans="1:23" ht="15.75" customHeight="1" x14ac:dyDescent="0.25">
      <c r="A8" s="7" t="s">
        <v>144</v>
      </c>
      <c r="B8" s="76">
        <v>3</v>
      </c>
      <c r="C8" s="3">
        <f>'Предварительная Результативност'!H7</f>
        <v>2</v>
      </c>
      <c r="D8" s="78">
        <f t="shared" si="0"/>
        <v>0</v>
      </c>
      <c r="E8" s="14">
        <f>'Результативность по предметам'!E8</f>
        <v>0</v>
      </c>
      <c r="F8" s="8">
        <f>COUNTIFS('Самопроверка по школам'!$D$2:$D$131,"Белицкая ДССШ",'Самопроверка по школам'!$E$2:$E$131,"бел.яз и лит.",'Самопроверка по школам'!$J$2:$J$131,"")</f>
        <v>0</v>
      </c>
      <c r="G8" s="8">
        <f>COUNTIFS('Самопроверка по школам'!$D$2:$D$131,"Белицкая ДССШ",'Самопроверка по школам'!$E$2:$E$131,"Русский язык и литература",'Самопроверка по школам'!$J$2:$J$131,"")</f>
        <v>0</v>
      </c>
      <c r="H8" s="8">
        <f>COUNTIFS('Самопроверка по школам'!$J$2:$J$131,"",'Самопроверка по школам'!$E$2:$E$131,"Английский язык",'Самопроверка по школам'!$D$2:$D$131,"Белицкая ДССШ")</f>
        <v>0</v>
      </c>
      <c r="I8" s="8">
        <f>COUNTIFS('Самопроверка по школам'!$J$2:$J$131,"",'Самопроверка по школам'!$E$2:$E$131,"нем.яз.",'Самопроверка по школам'!$D$2:$D$131,"Белицкая ДССШ")</f>
        <v>0</v>
      </c>
      <c r="J8" s="8">
        <f>COUNTIFS('Самопроверка по школам'!$D$2:$D$131,"Белицкая ДССШ",'Самопроверка по школам'!$E$2:$E$131,"математика",'Самопроверка по школам'!$J$2:$J$131,"")</f>
        <v>0</v>
      </c>
      <c r="K8" s="8">
        <f>COUNTIFS('Самопроверка по школам'!$D$2:$D$131,"Белицкая ДССШ",'Самопроверка по школам'!$E$2:$E$131,"информатика",'Самопроверка по школам'!$J$2:$J$131,"")</f>
        <v>0</v>
      </c>
      <c r="L8" s="8">
        <f>COUNTIFS('Самопроверка по школам'!$D$2:$D$131,"Белицкая ДССШ",'Самопроверка по школам'!$E$2:$E$131,"история",'Самопроверка по школам'!$J$2:$J$131,"")</f>
        <v>0</v>
      </c>
      <c r="M8" s="8">
        <f>COUNTIFS('Самопроверка по школам'!$D$2:$D$131,"Белицкая ДССШ",'Самопроверка по школам'!$E$2:$E$131,"обществоведение",'Самопроверка по школам'!$J$2:$J$131,"")</f>
        <v>0</v>
      </c>
      <c r="N8" s="8">
        <f>COUNTIFS('Самопроверка по школам'!$D$2:$D$131,"Белицкая ДССШ",'Самопроверка по школам'!$E$2:$E$131,"география",'Самопроверка по школам'!$J$2:$J$131,"")</f>
        <v>0</v>
      </c>
      <c r="O8" s="8">
        <f>COUNTIFS('Самопроверка по школам'!$J$2:$J$131,"",'Самопроверка по школам'!$E$2:$E$131,"Биология",'Самопроверка по школам'!$D$2:$D$131,"Белицкая ДССШ")</f>
        <v>0</v>
      </c>
      <c r="P8" s="8">
        <f>COUNTIFS('Самопроверка по школам'!$D$2:$D$131,"Белицкая ДССШ",'Самопроверка по школам'!$E$2:$E$131,"физика",'Самопроверка по школам'!$J$2:$J$131,"")</f>
        <v>0</v>
      </c>
      <c r="Q8" s="8">
        <f>COUNTIFS('Самопроверка по школам'!$J$2:$J$131,"",'Самопроверка по школам'!$E$2:$E$131,"астрономия",'Самопроверка по школам'!$D$2:$D$131,"Белицкая ДССШ")</f>
        <v>0</v>
      </c>
      <c r="R8" s="8">
        <f>COUNTIFS('Самопроверка по школам'!$J$2:$J$131,"",'Самопроверка по школам'!$E$2:$E$131,"химия",'Самопроверка по школам'!$D$2:$D$131,"Белицкая ДССШ")</f>
        <v>0</v>
      </c>
      <c r="S8" s="8">
        <f>COUNTIFS('Самопроверка по школам'!$J$2:$J$131,"",'Самопроверка по школам'!$E$2:$E$131,"Труд обслуживающий",'Самопроверка по школам'!$D$2:$D$131,"Белицкая ДССШ")</f>
        <v>0</v>
      </c>
      <c r="T8" s="8">
        <f>COUNTIFS('Самопроверка по школам'!$J$2:$J$131,"",'Самопроверка по школам'!$E$2:$E$131,"Труд  технический",'Самопроверка по школам'!$D$2:$D$131,"Белицкая ДССШ")</f>
        <v>0</v>
      </c>
      <c r="U8" s="8">
        <f>COUNTIFS('Самопроверка по школам'!$J$2:$J$131,"",'Самопроверка по школам'!$E$2:$E$131,"физическая культура и здоровье",'Самопроверка по школам'!$D$2:$D$131,"Белицкая ДССШ")</f>
        <v>0</v>
      </c>
      <c r="V8" s="15">
        <f t="shared" si="1"/>
        <v>0</v>
      </c>
      <c r="W8" s="16">
        <f t="shared" si="2"/>
        <v>2</v>
      </c>
    </row>
    <row r="9" spans="1:23" ht="15.75" customHeight="1" x14ac:dyDescent="0.25">
      <c r="A9" s="7" t="s">
        <v>145</v>
      </c>
      <c r="B9" s="76">
        <v>5</v>
      </c>
      <c r="C9" s="3">
        <f>'Предварительная Результативност'!H8</f>
        <v>0</v>
      </c>
      <c r="D9" s="78" t="e">
        <f t="shared" si="0"/>
        <v>#DIV/0!</v>
      </c>
      <c r="E9" s="14">
        <f>'Результативность по предметам'!E9</f>
        <v>0</v>
      </c>
      <c r="F9" s="8">
        <f>COUNTIFS('Самопроверка по школам'!$D$2:$D$131,"Коковчинская ДССШ",'Самопроверка по школам'!$E$2:$E$131,"бел.яз и лит.",'Самопроверка по школам'!$J$2:$J$131,"")</f>
        <v>0</v>
      </c>
      <c r="G9" s="8">
        <f>COUNTIFS('Самопроверка по школам'!$D$2:$D$131,"Коковчинская ДССШ",'Самопроверка по школам'!$E$2:$E$131,"Русский язык и литература",'Самопроверка по школам'!$J$2:$J$131,"")</f>
        <v>0</v>
      </c>
      <c r="H9" s="8">
        <f>COUNTIFS('Самопроверка по школам'!$J$2:$J$131,"",'Самопроверка по школам'!$E$2:$E$131,"Английский язык",'Самопроверка по школам'!$D$2:$D$131,"Коковчинская ДССШ")</f>
        <v>0</v>
      </c>
      <c r="I9" s="8">
        <f>COUNTIFS('Самопроверка по школам'!$J$2:$J$131,"",'Самопроверка по школам'!$E$2:$E$131,"нем.яз.",'Самопроверка по школам'!$D$2:$D$131,"Коковчинская ДССШ")</f>
        <v>0</v>
      </c>
      <c r="J9" s="8">
        <f>COUNTIFS('Самопроверка по школам'!$D$2:$D$131,"Коковчинская ДССШ",'Самопроверка по школам'!$E$2:$E$131,"математика",'Самопроверка по школам'!$J$2:$J$131,"")</f>
        <v>0</v>
      </c>
      <c r="K9" s="8">
        <f>COUNTIFS('Самопроверка по школам'!$D$2:$D$131,"Коковчинская ДССШ",'Самопроверка по школам'!$E$2:$E$131,"информатика",'Самопроверка по школам'!$J$2:$J$131,"")</f>
        <v>0</v>
      </c>
      <c r="L9" s="8">
        <f>COUNTIFS('Самопроверка по школам'!$D$2:$D$131,"Коковчинская ДССШ",'Самопроверка по школам'!$E$2:$E$131,"история",'Самопроверка по школам'!$J$2:$J$131,"")</f>
        <v>0</v>
      </c>
      <c r="M9" s="8">
        <f>COUNTIFS('Самопроверка по школам'!$D$2:$D$131,"Коковчинская ДССШ",'Самопроверка по школам'!$E$2:$E$131,"обществоведение",'Самопроверка по школам'!$J$2:$J$131,"")</f>
        <v>0</v>
      </c>
      <c r="N9" s="8">
        <f>COUNTIFS('Самопроверка по школам'!$D$2:$D$131,"Коковчинская ДССШ",'Самопроверка по школам'!$E$2:$E$131,"география",'Самопроверка по школам'!$J$2:$J$131,"")</f>
        <v>0</v>
      </c>
      <c r="O9" s="8">
        <f>COUNTIFS('Самопроверка по школам'!$J$2:$J$131,"",'Самопроверка по школам'!$E$2:$E$131,"Биология",'Самопроверка по школам'!$D$2:$D$131,"Коковчинская ДССШ")</f>
        <v>0</v>
      </c>
      <c r="P9" s="8">
        <f>COUNTIFS('Самопроверка по школам'!$D$2:$D$131,"Коковчинская ДССШ",'Самопроверка по школам'!$E$2:$E$131,"физика",'Самопроверка по школам'!$J$2:$J$131,"")</f>
        <v>0</v>
      </c>
      <c r="Q9" s="8">
        <f>COUNTIFS('Самопроверка по школам'!$J$2:$J$131,"",'Самопроверка по школам'!$E$2:$E$131,"астрономия",'Самопроверка по школам'!$D$2:$D$131,"Коковчинская ДССШ")</f>
        <v>0</v>
      </c>
      <c r="R9" s="8">
        <f>COUNTIFS('Самопроверка по школам'!$J$2:$J$131,"",'Самопроверка по школам'!$E$2:$E$131,"химия",'Самопроверка по школам'!$D$2:$D$131,"Коковчинская ДССШ")</f>
        <v>0</v>
      </c>
      <c r="S9" s="8">
        <f>COUNTIFS('Самопроверка по школам'!$J$2:$J$131,"",'Самопроверка по школам'!$E$2:$E$131,"Труд обслуживающий",'Самопроверка по школам'!$D$2:$D$131,"Коковчинская ДССШ")</f>
        <v>0</v>
      </c>
      <c r="T9" s="8">
        <f>COUNTIFS('Самопроверка по школам'!$J$2:$J$131,"",'Самопроверка по школам'!$E$2:$E$131,"Труд  технический",'Самопроверка по школам'!$D$2:$D$131,"Коковчинская ДССШ")</f>
        <v>0</v>
      </c>
      <c r="U9" s="8">
        <f>COUNTIFS('Самопроверка по школам'!$J$2:$J$131,"",'Самопроверка по школам'!$E$2:$E$131,"физическая культура и здоровье",'Самопроверка по школам'!$D$2:$D$131,"Коковчинская ДССШ")</f>
        <v>0</v>
      </c>
      <c r="V9" s="15">
        <f t="shared" si="1"/>
        <v>0</v>
      </c>
      <c r="W9" s="16">
        <f t="shared" si="2"/>
        <v>0</v>
      </c>
    </row>
    <row r="10" spans="1:23" ht="15.75" customHeight="1" x14ac:dyDescent="0.25">
      <c r="A10" s="7" t="s">
        <v>146</v>
      </c>
      <c r="B10" s="76">
        <v>25</v>
      </c>
      <c r="C10" s="3">
        <f>'Предварительная Результативност'!H9</f>
        <v>12</v>
      </c>
      <c r="D10" s="78">
        <f t="shared" si="0"/>
        <v>8.3333333333333329E-2</v>
      </c>
      <c r="E10" s="14">
        <f>'Результативность по предметам'!E10</f>
        <v>1</v>
      </c>
      <c r="F10" s="8">
        <f>COUNTIFS('Самопроверка по школам'!$D$2:$D$131,"Мошканская ДССШ",'Самопроверка по школам'!$E$2:$E$131,"бел.яз и лит.",'Самопроверка по школам'!$J$2:$J$131,"")</f>
        <v>0</v>
      </c>
      <c r="G10" s="8">
        <f>COUNTIFS('Самопроверка по школам'!$D$2:$D$131,"Мошканская ДССШ",'Самопроверка по школам'!$E$2:$E$131,"Русский язык и литература",'Самопроверка по школам'!$J$2:$J$131,"")</f>
        <v>0</v>
      </c>
      <c r="H10" s="8">
        <f>COUNTIFS('Самопроверка по школам'!$J$2:$J$131,"",'Самопроверка по школам'!$E$2:$E$131,"Английский язык",'Самопроверка по школам'!$D$2:$D$131,"Мошканская ДССШ")</f>
        <v>0</v>
      </c>
      <c r="I10" s="8">
        <f>COUNTIFS('Самопроверка по школам'!$J$2:$J$131,"",'Самопроверка по школам'!$E$2:$E$131,"нем.яз.",'Самопроверка по школам'!$D$2:$D$131,"Мошканская ДССШ")</f>
        <v>0</v>
      </c>
      <c r="J10" s="8">
        <f>COUNTIFS('Самопроверка по школам'!$D$2:$D$131,"Мошканская ДССШ",'Самопроверка по школам'!$E$2:$E$131,"математика",'Самопроверка по школам'!$J$2:$J$131,"")</f>
        <v>0</v>
      </c>
      <c r="K10" s="8">
        <f>COUNTIFS('Самопроверка по школам'!$D$2:$D$131,"Мошканская ДССШ",'Самопроверка по школам'!$E$2:$E$131,"информатика",'Самопроверка по школам'!$J$2:$J$131,"")</f>
        <v>0</v>
      </c>
      <c r="L10" s="8">
        <f>COUNTIFS('Самопроверка по школам'!$D$2:$D$131,"Мошканская ДССШ",'Самопроверка по школам'!$E$2:$E$131,"история",'Самопроверка по школам'!$J$2:$J$131,"")</f>
        <v>0</v>
      </c>
      <c r="M10" s="8">
        <f>COUNTIFS('Самопроверка по школам'!$D$2:$D$131,"Мошканская ДССШ",'Самопроверка по школам'!$E$2:$E$131,"обществоведение",'Самопроверка по школам'!$J$2:$J$131,"")</f>
        <v>2</v>
      </c>
      <c r="N10" s="8">
        <f>COUNTIFS('Самопроверка по школам'!$D$2:$D$131,"Мошканская ДССШ",'Самопроверка по школам'!$E$2:$E$131,"география",'Самопроверка по школам'!$J$2:$J$131,"")</f>
        <v>3</v>
      </c>
      <c r="O10" s="8">
        <f>COUNTIFS('Самопроверка по школам'!$J$2:$J$131,"",'Самопроверка по школам'!$E$2:$E$131,"Биология",'Самопроверка по школам'!$D$2:$D$131,"Мошканская ДССШ")</f>
        <v>2</v>
      </c>
      <c r="P10" s="8">
        <f>COUNTIFS('Самопроверка по школам'!$D$2:$D$131,"Мошканская ДССШ",'Самопроверка по школам'!$E$2:$E$131,"физика",'Самопроверка по школам'!$J$2:$J$131,"")</f>
        <v>0</v>
      </c>
      <c r="Q10" s="8">
        <f>COUNTIFS('Самопроверка по школам'!$J$2:$J$131,"",'Самопроверка по школам'!$E$2:$E$131,"астрономия",'Самопроверка по школам'!$D$2:$D$131,"Мошканская ДССШ")</f>
        <v>0</v>
      </c>
      <c r="R10" s="8">
        <f>COUNTIFS('Самопроверка по школам'!$J$2:$J$131,"",'Самопроверка по школам'!$E$2:$E$131,"химия",'Самопроверка по школам'!$D$2:$D$131,"Мошканская ДССШ")</f>
        <v>1</v>
      </c>
      <c r="S10" s="8">
        <f>COUNTIFS('Самопроверка по школам'!$J$2:$J$131,"",'Самопроверка по школам'!$E$2:$E$131,"Труд обслуживающий",'Самопроверка по школам'!$D$2:$D$131,"Мошканская ДССШ")</f>
        <v>0</v>
      </c>
      <c r="T10" s="8">
        <f>COUNTIFS('Самопроверка по школам'!$J$2:$J$131,"",'Самопроверка по школам'!$E$2:$E$131,"Труд  технический",'Самопроверка по школам'!$D$2:$D$131,"Мошканская ДССШ")</f>
        <v>0</v>
      </c>
      <c r="U10" s="8">
        <f>COUNTIFS('Самопроверка по школам'!$J$2:$J$131,"",'Самопроверка по школам'!$E$2:$E$131,"физическая культура и здоровье",'Самопроверка по школам'!$D$2:$D$131,"Мошканская ДССШ")</f>
        <v>0</v>
      </c>
      <c r="V10" s="15">
        <f t="shared" si="1"/>
        <v>8</v>
      </c>
      <c r="W10" s="16">
        <f t="shared" si="2"/>
        <v>3</v>
      </c>
    </row>
    <row r="11" spans="1:23" ht="15.75" customHeight="1" x14ac:dyDescent="0.25">
      <c r="A11" s="7" t="s">
        <v>150</v>
      </c>
      <c r="B11" s="76">
        <v>10</v>
      </c>
      <c r="C11" s="3">
        <f>'Предварительная Результативност'!H10</f>
        <v>6</v>
      </c>
      <c r="D11" s="78">
        <f t="shared" si="0"/>
        <v>0.33333333333333331</v>
      </c>
      <c r="E11" s="14">
        <f>'Результативность по предметам'!E11</f>
        <v>2</v>
      </c>
      <c r="F11" s="8">
        <f>COUNTIFS('Самопроверка по школам'!$D$2:$D$131,"Студёнковская ДССШ",'Самопроверка по школам'!$E$2:$E$131,"бел.яз и лит.",'Самопроверка по школам'!$J$2:$J$131,"")</f>
        <v>0</v>
      </c>
      <c r="G11" s="8">
        <f>COUNTIFS('Самопроверка по школам'!$D$2:$D$131,"Студёнковская ДССШ",'Самопроверка по школам'!$E$2:$E$131,"Русский язык и литература",'Самопроверка по школам'!$J$2:$J$131,"")</f>
        <v>0</v>
      </c>
      <c r="H11" s="8">
        <f>COUNTIFS('Самопроверка по школам'!$J$2:$J$131,"",'Самопроверка по школам'!$E$2:$E$131,"Английский язык",'Самопроверка по школам'!$D$2:$D$131,"Студёнковская ДССШ")</f>
        <v>0</v>
      </c>
      <c r="I11" s="8">
        <f>COUNTIFS('Самопроверка по школам'!$J$2:$J$131,"",'Самопроверка по школам'!$E$2:$E$131,"нем.яз.",'Самопроверка по школам'!$D$2:$D$131,"Студёнковская ДССШ")</f>
        <v>0</v>
      </c>
      <c r="J11" s="8">
        <f>COUNTIFS('Самопроверка по школам'!$D$2:$D$131,"Студёнковская ДССШ",'Самопроверка по школам'!$E$2:$E$131,"математика",'Самопроверка по школам'!$J$2:$J$131,"")</f>
        <v>0</v>
      </c>
      <c r="K11" s="8">
        <f>COUNTIFS('Самопроверка по школам'!$D$2:$D$131,"Студёнковская ДССШ",'Самопроверка по школам'!$E$2:$E$131,"информатика",'Самопроверка по школам'!$J$2:$J$131,"")</f>
        <v>0</v>
      </c>
      <c r="L11" s="8">
        <f>COUNTIFS('Самопроверка по школам'!$D$2:$D$131,"Студёнковская ДССШ",'Самопроверка по школам'!$E$2:$E$131,"история",'Самопроверка по школам'!$J$2:$J$131,"")</f>
        <v>0</v>
      </c>
      <c r="M11" s="8">
        <f>COUNTIFS('Самопроверка по школам'!$D$2:$D$131,"Студёнковская ДССШ",'Самопроверка по школам'!$E$2:$E$131,"обществоведение",'Самопроверка по школам'!$J$2:$J$131,"")</f>
        <v>0</v>
      </c>
      <c r="N11" s="8">
        <f>COUNTIFS('Самопроверка по школам'!$D$2:$D$131,"Студёнковская ДССШ",'Самопроверка по школам'!$E$2:$E$131,"география",'Самопроверка по школам'!$J$2:$J$131,"")</f>
        <v>0</v>
      </c>
      <c r="O11" s="8">
        <f>COUNTIFS('Самопроверка по школам'!$J$2:$J$131,"",'Самопроверка по школам'!$E$2:$E$131,"Биология",'Самопроверка по школам'!$D$2:$D$131,"Студёнковская ДССШ")</f>
        <v>0</v>
      </c>
      <c r="P11" s="8">
        <f>COUNTIFS('Самопроверка по школам'!$D$2:$D$131,"Студёнковская ДССШ",'Самопроверка по школам'!$E$2:$E$131,"физика",'Самопроверка по школам'!$J$2:$J$131,"")</f>
        <v>0</v>
      </c>
      <c r="Q11" s="8">
        <f>COUNTIFS('Самопроверка по школам'!$J$2:$J$131,"",'Самопроверка по школам'!$E$2:$E$131,"астрономия",'Самопроверка по школам'!$D$2:$D$131,"Студёнковская ДССШ")</f>
        <v>0</v>
      </c>
      <c r="R11" s="8">
        <f>COUNTIFS('Самопроверка по школам'!$J$2:$J$131,"",'Самопроверка по школам'!$E$2:$E$131,"химия",'Самопроверка по школам'!$D$2:$D$131,"Студёнковская ДССШ")</f>
        <v>0</v>
      </c>
      <c r="S11" s="8">
        <f>COUNTIFS('Самопроверка по школам'!$J$2:$J$131,"",'Самопроверка по школам'!$E$2:$E$131,"Труд обслуживающий",'Самопроверка по школам'!$D$2:$D$131,"Студёнковская ДССШ")</f>
        <v>1</v>
      </c>
      <c r="T11" s="8">
        <f>COUNTIFS('Самопроверка по школам'!$J$2:$J$131,"",'Самопроверка по школам'!$E$2:$E$131,"Труд  технический",'Самопроверка по школам'!$D$2:$D$131,"Студёнковская ДССШ")</f>
        <v>1</v>
      </c>
      <c r="U11" s="8">
        <f>COUNTIFS('Самопроверка по школам'!$J$2:$J$131,"",'Самопроверка по школам'!$E$2:$E$131,"физическая культура и здоровье",'Самопроверка по школам'!$D$2:$D$131,"Студёнковская ДССШ")</f>
        <v>0</v>
      </c>
      <c r="V11" s="15">
        <f t="shared" si="1"/>
        <v>2</v>
      </c>
      <c r="W11" s="16">
        <f t="shared" si="2"/>
        <v>2</v>
      </c>
    </row>
    <row r="12" spans="1:23" ht="15.75" customHeight="1" x14ac:dyDescent="0.25">
      <c r="A12" s="7" t="s">
        <v>148</v>
      </c>
      <c r="B12" s="76">
        <v>2</v>
      </c>
      <c r="C12" s="3">
        <f>'Предварительная Результативност'!H11</f>
        <v>0</v>
      </c>
      <c r="D12" s="78" t="e">
        <f t="shared" si="0"/>
        <v>#DIV/0!</v>
      </c>
      <c r="E12" s="14">
        <f>'Результативность по предметам'!E12</f>
        <v>0</v>
      </c>
      <c r="F12" s="8">
        <f>COUNTIFS('Самопроверка по школам'!$D$2:$D$131,"Ходцевская ДССШ",'Самопроверка по школам'!$E$2:$E$131,"бел.яз и лит.",'Самопроверка по школам'!$J$2:$J$131,"")</f>
        <v>0</v>
      </c>
      <c r="G12" s="8">
        <f>COUNTIFS('Самопроверка по школам'!$D$2:$D$131,"Ходцевская ДССШ",'Самопроверка по школам'!$E$2:$E$131,"Русский язык и литература",'Самопроверка по школам'!$J$2:$J$131,"")</f>
        <v>0</v>
      </c>
      <c r="H12" s="8">
        <f>COUNTIFS('Самопроверка по школам'!$J$2:$J$131,"",'Самопроверка по школам'!$E$2:$E$131,"Английский язык",'Самопроверка по школам'!$D$2:$D$131,"Ходцевская ДССШ")</f>
        <v>0</v>
      </c>
      <c r="I12" s="8">
        <f>COUNTIFS('Самопроверка по школам'!$J$2:$J$131,"",'Самопроверка по школам'!$E$2:$E$131,"нем.яз.",'Самопроверка по школам'!$D$2:$D$131,"Ходцевская ДССШ")</f>
        <v>0</v>
      </c>
      <c r="J12" s="8">
        <f>COUNTIFS('Самопроверка по школам'!$D$2:$D$131,"Ходцевская ДССШ",'Самопроверка по школам'!$E$2:$E$131,"математика",'Самопроверка по школам'!$J$2:$J$131,"")</f>
        <v>0</v>
      </c>
      <c r="K12" s="8">
        <f>COUNTIFS('Самопроверка по школам'!$D$2:$D$131,"Ходцевская ДССШ",'Самопроверка по школам'!$E$2:$E$131,"информатика",'Самопроверка по школам'!$J$2:$J$131,"")</f>
        <v>0</v>
      </c>
      <c r="L12" s="8">
        <f>COUNTIFS('Самопроверка по школам'!$D$2:$D$131,"Ходцевская ДССШ",'Самопроверка по школам'!$E$2:$E$131,"история",'Самопроверка по школам'!$J$2:$J$131,"")</f>
        <v>0</v>
      </c>
      <c r="M12" s="8">
        <f>COUNTIFS('Самопроверка по школам'!$D$2:$D$131,"Ходцевская ДССШ",'Самопроверка по школам'!$E$2:$E$131,"обществоведение",'Самопроверка по школам'!$J$2:$J$131,"")</f>
        <v>0</v>
      </c>
      <c r="N12" s="8">
        <f>COUNTIFS('Самопроверка по школам'!$D$2:$D$131,"Ходцевская ДССШ",'Самопроверка по школам'!$E$2:$E$131,"география",'Самопроверка по школам'!$J$2:$J$131,"")</f>
        <v>0</v>
      </c>
      <c r="O12" s="8">
        <f>COUNTIFS('Самопроверка по школам'!$J$2:$J$131,"",'Самопроверка по школам'!$E$2:$E$131,"Биология",'Самопроверка по школам'!$D$2:$D$131,"Ходцевская ДССШ")</f>
        <v>0</v>
      </c>
      <c r="P12" s="8">
        <f>COUNTIFS('Самопроверка по школам'!$D$2:$D$131,"Ходцевская ДССШ",'Самопроверка по школам'!$E$2:$E$131,"физика",'Самопроверка по школам'!$J$2:$J$131,"")</f>
        <v>0</v>
      </c>
      <c r="Q12" s="8">
        <f>COUNTIFS('Самопроверка по школам'!$J$2:$J$131,"",'Самопроверка по школам'!$E$2:$E$131,"астрономия",'Самопроверка по школам'!$D$2:$D$131,"Ходцевская ДССШ")</f>
        <v>0</v>
      </c>
      <c r="R12" s="8">
        <f>COUNTIFS('Самопроверка по школам'!$J$2:$J$131,"",'Самопроверка по школам'!$E$2:$E$131,"химия",'Самопроверка по школам'!$D$2:$D$131,"Ходцевская ДССШ")</f>
        <v>0</v>
      </c>
      <c r="S12" s="8">
        <f>COUNTIFS('Самопроверка по школам'!$J$2:$J$131,"",'Самопроверка по школам'!$E$2:$E$131,"Труд обслуживающий",'Самопроверка по школам'!$D$2:$D$131,"Ходцевская ДССШ")</f>
        <v>0</v>
      </c>
      <c r="T12" s="8">
        <f>COUNTIFS('Самопроверка по школам'!$J$2:$J$131,"",'Самопроверка по школам'!$E$2:$E$131,"Труд  технический",'Самопроверка по школам'!$D$2:$D$131,"Ходцевская ДССШ")</f>
        <v>0</v>
      </c>
      <c r="U12" s="8">
        <f>COUNTIFS('Самопроверка по школам'!$J$2:$J$131,"",'Самопроверка по школам'!$E$2:$E$131,"физическая культура и здоровье",'Самопроверка по школам'!$D$2:$D$131,"Ходцевская ДССШ")</f>
        <v>0</v>
      </c>
      <c r="V12" s="15">
        <f t="shared" si="1"/>
        <v>0</v>
      </c>
      <c r="W12" s="16">
        <f t="shared" si="2"/>
        <v>0</v>
      </c>
    </row>
    <row r="13" spans="1:23" ht="15.75" customHeight="1" x14ac:dyDescent="0.25">
      <c r="A13" s="7" t="s">
        <v>149</v>
      </c>
      <c r="B13" s="76">
        <v>12</v>
      </c>
      <c r="C13" s="3">
        <f>'Предварительная Результативност'!H12</f>
        <v>3</v>
      </c>
      <c r="D13" s="78">
        <f t="shared" si="0"/>
        <v>0.33333333333333331</v>
      </c>
      <c r="E13" s="14">
        <f>'Результативность по предметам'!E13</f>
        <v>1</v>
      </c>
      <c r="F13" s="8">
        <f>COUNTIFS('Самопроверка по школам'!$D$2:$D$131,"Яновская ДСБШ",'Самопроверка по школам'!$E$2:$E$131,"бел.яз и лит.",'Самопроверка по школам'!$J$2:$J$131,"")</f>
        <v>0</v>
      </c>
      <c r="G13" s="8">
        <f>COUNTIFS('Самопроверка по школам'!$D$2:$D$131,"Яновская ДСБШ",'Самопроверка по школам'!$E$2:$E$131,"Русский язык и литература",'Самопроверка по школам'!$J$2:$J$131,"")</f>
        <v>0</v>
      </c>
      <c r="H13" s="8">
        <f>COUNTIFS('Самопроверка по школам'!$J$2:$J$131,"",'Самопроверка по школам'!$E$2:$E$131,"Английский язык",'Самопроверка по школам'!$D$2:$D$131,"Яновская ДСБШ")</f>
        <v>0</v>
      </c>
      <c r="I13" s="8">
        <f>COUNTIFS('Самопроверка по школам'!$J$2:$J$131,"",'Самопроверка по школам'!$E$2:$E$131,"нем.яз.",'Самопроверка по школам'!$D$2:$D$131,"Яновская ДСБШ")</f>
        <v>0</v>
      </c>
      <c r="J13" s="8">
        <f>COUNTIFS('Самопроверка по школам'!$D$2:$D$131,"Яновская ДСБШ",'Самопроверка по школам'!$E$2:$E$131,"математика",'Самопроверка по школам'!$J$2:$J$131,"")</f>
        <v>0</v>
      </c>
      <c r="K13" s="8">
        <f>COUNTIFS('Самопроверка по школам'!$D$2:$D$131,"Яновская ДСБШ",'Самопроверка по школам'!$E$2:$E$131,"информатика",'Самопроверка по школам'!$J$2:$J$131,"")</f>
        <v>0</v>
      </c>
      <c r="L13" s="8">
        <f>COUNTIFS('Самопроверка по школам'!$D$2:$D$131,"Яновская ДСБШ",'Самопроверка по школам'!$E$2:$E$131,"история",'Самопроверка по школам'!$J$2:$J$131,"")</f>
        <v>0</v>
      </c>
      <c r="M13" s="8">
        <f>COUNTIFS('Самопроверка по школам'!$D$2:$D$131,"Яновская ДСБШ",'Самопроверка по школам'!$E$2:$E$131,"обществоведение",'Самопроверка по школам'!$J$2:$J$131,"")</f>
        <v>0</v>
      </c>
      <c r="N13" s="8">
        <f>COUNTIFS('Самопроверка по школам'!$D$2:$D$131,"Яновская ДСБШ",'Самопроверка по школам'!$E$2:$E$131,"география",'Самопроверка по школам'!$J$2:$J$131,"")</f>
        <v>0</v>
      </c>
      <c r="O13" s="8">
        <f>COUNTIFS('Самопроверка по школам'!$J$2:$J$131,"",'Самопроверка по школам'!$E$2:$E$131,"Биология",'Самопроверка по школам'!$D$2:$D$131,"Яновская ДСБШ")</f>
        <v>0</v>
      </c>
      <c r="P13" s="8">
        <f>COUNTIFS('Самопроверка по школам'!$D$2:$D$131,"Яновская ДСБШ",'Самопроверка по школам'!$E$2:$E$131,"физика",'Самопроверка по школам'!$J$2:$J$131,"")</f>
        <v>0</v>
      </c>
      <c r="Q13" s="8">
        <f>COUNTIFS('Самопроверка по школам'!$J$2:$J$131,"",'Самопроверка по школам'!$E$2:$E$131,"астрономия",'Самопроверка по школам'!$D$2:$D$131,"Яновская ДСБШ")</f>
        <v>0</v>
      </c>
      <c r="R13" s="8">
        <f>COUNTIFS('Самопроверка по школам'!$J$2:$J$131,"",'Самопроверка по школам'!$E$2:$E$131,"химия",'Самопроверка по школам'!$D$2:$D$131,"Яновская ДСБШ")</f>
        <v>0</v>
      </c>
      <c r="S13" s="8">
        <f>COUNTIFS('Самопроверка по школам'!$J$2:$J$131,"",'Самопроверка по школам'!$E$2:$E$131,"Труд обслуживающий",'Самопроверка по школам'!$D$2:$D$131,"Яновская ДСБШ")</f>
        <v>0</v>
      </c>
      <c r="T13" s="8">
        <f>COUNTIFS('Самопроверка по школам'!$J$2:$J$131,"",'Самопроверка по школам'!$E$2:$E$131,"Труд  технический",'Самопроверка по школам'!$D$2:$D$131,"Яновская ДСБШ")</f>
        <v>1</v>
      </c>
      <c r="U13" s="8">
        <f>COUNTIFS('Самопроверка по школам'!$J$2:$J$131,"",'Самопроверка по школам'!$E$2:$E$131,"физическая культура и здоровье",'Самопроверка по школам'!$D$2:$D$131,"Яновская ДСБШ")</f>
        <v>0</v>
      </c>
      <c r="V13" s="15">
        <f t="shared" si="1"/>
        <v>1</v>
      </c>
      <c r="W13" s="16">
        <f t="shared" si="2"/>
        <v>1</v>
      </c>
    </row>
    <row r="14" spans="1:23" ht="31.5" hidden="1" customHeight="1" x14ac:dyDescent="0.25">
      <c r="A14" s="7"/>
      <c r="B14" s="7"/>
      <c r="C14" s="3"/>
      <c r="D14" s="12"/>
      <c r="E14" s="14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5"/>
      <c r="W14" s="16"/>
    </row>
    <row r="15" spans="1:23" ht="15.75" hidden="1" customHeight="1" x14ac:dyDescent="0.25">
      <c r="A15" s="7"/>
      <c r="B15" s="7"/>
      <c r="C15" s="3"/>
      <c r="D15" s="12"/>
      <c r="E15" s="14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5"/>
      <c r="W15" s="16"/>
    </row>
    <row r="16" spans="1:23" ht="15.75" hidden="1" customHeight="1" x14ac:dyDescent="0.25">
      <c r="A16" s="7"/>
      <c r="B16" s="7"/>
      <c r="C16" s="3"/>
      <c r="D16" s="12"/>
      <c r="E16" s="14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15"/>
      <c r="W16" s="16"/>
    </row>
    <row r="17" spans="1:23" ht="31.5" customHeight="1" x14ac:dyDescent="0.25">
      <c r="A17" s="18" t="s">
        <v>34</v>
      </c>
      <c r="B17" s="77">
        <f>SUM(B5:B13)</f>
        <v>336</v>
      </c>
      <c r="C17" s="19">
        <f>SUM(C5:C16)</f>
        <v>123</v>
      </c>
      <c r="D17" s="20">
        <f>E17/C17</f>
        <v>0.25203252032520324</v>
      </c>
      <c r="E17" s="14">
        <f>'Результативность по предметам'!E14</f>
        <v>31</v>
      </c>
      <c r="F17" s="21">
        <f>SUM(F5:F16)</f>
        <v>6</v>
      </c>
      <c r="G17" s="22">
        <f>SUM(G5:G16)</f>
        <v>3</v>
      </c>
      <c r="H17" s="23">
        <f t="shared" ref="H17:S17" si="3">SUM(H3:H16)</f>
        <v>2</v>
      </c>
      <c r="I17" s="24">
        <f t="shared" si="3"/>
        <v>0</v>
      </c>
      <c r="J17" s="25">
        <f t="shared" si="3"/>
        <v>7</v>
      </c>
      <c r="K17" s="26">
        <f t="shared" si="3"/>
        <v>0</v>
      </c>
      <c r="L17" s="27">
        <f t="shared" si="3"/>
        <v>4</v>
      </c>
      <c r="M17" s="28">
        <f t="shared" si="3"/>
        <v>7</v>
      </c>
      <c r="N17" s="26">
        <f t="shared" si="3"/>
        <v>4</v>
      </c>
      <c r="O17" s="29">
        <f t="shared" si="3"/>
        <v>8</v>
      </c>
      <c r="P17" s="23">
        <f t="shared" si="3"/>
        <v>2</v>
      </c>
      <c r="Q17" s="30">
        <f t="shared" si="3"/>
        <v>1</v>
      </c>
      <c r="R17" s="25">
        <f t="shared" si="3"/>
        <v>4</v>
      </c>
      <c r="S17" s="25">
        <f t="shared" si="3"/>
        <v>2</v>
      </c>
      <c r="T17" s="31">
        <f>SUM(T5:T16)</f>
        <v>4</v>
      </c>
      <c r="U17" s="31">
        <f>SUM(U5:U16)</f>
        <v>0</v>
      </c>
      <c r="V17" s="32">
        <f>SUM(F17:U17)</f>
        <v>54</v>
      </c>
      <c r="W17" s="33">
        <f>SUM(W5:W13)</f>
        <v>38</v>
      </c>
    </row>
    <row r="18" spans="1:23" ht="15.75" customHeight="1" x14ac:dyDescent="0.25">
      <c r="A18" s="34"/>
      <c r="B18" s="34"/>
      <c r="C18" s="34"/>
      <c r="D18" s="3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U18" s="17">
        <f>SUM(F17:U17)</f>
        <v>54</v>
      </c>
      <c r="V18" s="17">
        <f>V17+E17+W17</f>
        <v>123</v>
      </c>
    </row>
    <row r="19" spans="1:23" ht="15" customHeight="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23" ht="1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23" ht="15" customHeight="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23" ht="15" customHeight="1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</sheetData>
  <mergeCells count="25">
    <mergeCell ref="P3:P4"/>
    <mergeCell ref="Q3:Q4"/>
    <mergeCell ref="R3:R4"/>
    <mergeCell ref="A2:A4"/>
    <mergeCell ref="L3:L4"/>
    <mergeCell ref="M3:M4"/>
    <mergeCell ref="F2:U2"/>
    <mergeCell ref="U3:U4"/>
    <mergeCell ref="S3:S4"/>
    <mergeCell ref="A1:W1"/>
    <mergeCell ref="N3:N4"/>
    <mergeCell ref="O3:O4"/>
    <mergeCell ref="B2:B4"/>
    <mergeCell ref="C2:C4"/>
    <mergeCell ref="D2:D4"/>
    <mergeCell ref="K3:K4"/>
    <mergeCell ref="E2:E4"/>
    <mergeCell ref="V2:V4"/>
    <mergeCell ref="W2:W4"/>
    <mergeCell ref="T3:T4"/>
    <mergeCell ref="F3:F4"/>
    <mergeCell ref="G3:G4"/>
    <mergeCell ref="H3:H4"/>
    <mergeCell ref="I3:I4"/>
    <mergeCell ref="J3:J4"/>
  </mergeCells>
  <pageMargins left="0.6692913385826772" right="0.19685039370078741" top="1.1417322834645669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Самопроверка по школам</vt:lpstr>
      <vt:lpstr>Предварительная Результативност</vt:lpstr>
      <vt:lpstr>Результативность по предметам</vt:lpstr>
      <vt:lpstr>Награждение по итогам</vt:lpstr>
      <vt:lpstr>Похвальные листы Школы Предметы</vt:lpstr>
      <vt:lpstr>К-во уч-ков по школам по предм</vt:lpstr>
      <vt:lpstr>нерезульт.выступление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Admin</cp:lastModifiedBy>
  <cp:lastPrinted>2019-12-10T06:01:07Z</cp:lastPrinted>
  <dcterms:created xsi:type="dcterms:W3CDTF">2009-12-08T06:08:07Z</dcterms:created>
  <dcterms:modified xsi:type="dcterms:W3CDTF">2024-12-31T06:10:39Z</dcterms:modified>
</cp:coreProperties>
</file>