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Олимпиада весна 2025 год\"/>
    </mc:Choice>
  </mc:AlternateContent>
  <xr:revisionPtr revIDLastSave="0" documentId="13_ncr:1_{A585DD0E-DD1E-4B2D-AFBA-8E03F9BDFF68}" xr6:coauthVersionLast="45" xr6:coauthVersionMax="45" xr10:uidLastSave="{00000000-0000-0000-0000-000000000000}"/>
  <bookViews>
    <workbookView xWindow="-120" yWindow="-120" windowWidth="21840" windowHeight="13140" tabRatio="730" xr2:uid="{00000000-000D-0000-FFFF-FFFF00000000}"/>
  </bookViews>
  <sheets>
    <sheet name="Самопроверка по школам" sheetId="1" r:id="rId1"/>
    <sheet name="Предварительная Результативност" sheetId="2" r:id="rId2"/>
    <sheet name="Результативность по предметам" sheetId="7" r:id="rId3"/>
    <sheet name="Награждение по итогам" sheetId="4" r:id="rId4"/>
    <sheet name="нерезульт.выступление" sheetId="3" r:id="rId5"/>
    <sheet name="Похвальные листы Школы Предметы" sheetId="6" r:id="rId6"/>
    <sheet name="К-во уч-ков по школам по предм" sheetId="8" r:id="rId7"/>
  </sheets>
  <definedNames>
    <definedName name="_GoBack" localSheetId="0">'Самопроверка по школам'!#REF!</definedName>
    <definedName name="_xlnm._FilterDatabase" localSheetId="0" hidden="1">'Самопроверка по школам'!$A$1:$J$322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8" i="6" l="1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H10" i="7"/>
  <c r="G10" i="7"/>
  <c r="F10" i="7"/>
  <c r="C10" i="7"/>
  <c r="D9" i="2"/>
  <c r="E9" i="2"/>
  <c r="F9" i="2"/>
  <c r="H9" i="2"/>
  <c r="C10" i="2"/>
  <c r="C9" i="2"/>
  <c r="I111" i="1" l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24" i="1" l="1"/>
  <c r="R14" i="6" l="1"/>
  <c r="R13" i="6"/>
  <c r="R12" i="6"/>
  <c r="R10" i="6"/>
  <c r="R9" i="6"/>
  <c r="R7" i="6"/>
  <c r="R6" i="6"/>
  <c r="R4" i="6"/>
  <c r="R3" i="6"/>
  <c r="T5" i="3"/>
  <c r="Q14" i="6"/>
  <c r="Q13" i="6"/>
  <c r="Q12" i="6"/>
  <c r="Q10" i="6"/>
  <c r="Q9" i="6"/>
  <c r="Q7" i="6"/>
  <c r="Q6" i="6"/>
  <c r="Q4" i="6"/>
  <c r="Q3" i="6"/>
  <c r="S5" i="3"/>
  <c r="Q11" i="6"/>
  <c r="Q5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S16" i="3"/>
  <c r="S15" i="3"/>
  <c r="S14" i="3"/>
  <c r="S12" i="3"/>
  <c r="S11" i="3"/>
  <c r="S9" i="3"/>
  <c r="S8" i="3"/>
  <c r="S6" i="3"/>
  <c r="E16" i="4"/>
  <c r="T16" i="3"/>
  <c r="T15" i="3"/>
  <c r="T14" i="3"/>
  <c r="T12" i="3"/>
  <c r="T11" i="3"/>
  <c r="T10" i="8"/>
  <c r="T9" i="3"/>
  <c r="T9" i="8" s="1"/>
  <c r="T8" i="3"/>
  <c r="T8" i="8" s="1"/>
  <c r="T6" i="3"/>
  <c r="T6" i="8" s="1"/>
  <c r="E17" i="4"/>
  <c r="R8" i="3"/>
  <c r="Q8" i="3"/>
  <c r="P8" i="3"/>
  <c r="O8" i="3"/>
  <c r="N8" i="3"/>
  <c r="M8" i="3"/>
  <c r="L8" i="3"/>
  <c r="K8" i="3"/>
  <c r="J8" i="3"/>
  <c r="I8" i="3"/>
  <c r="H8" i="3"/>
  <c r="G8" i="3"/>
  <c r="F8" i="3"/>
  <c r="W20" i="7"/>
  <c r="X6" i="7"/>
  <c r="X7" i="7"/>
  <c r="X8" i="7"/>
  <c r="X9" i="7"/>
  <c r="X10" i="7"/>
  <c r="X11" i="7"/>
  <c r="X12" i="7"/>
  <c r="X13" i="7"/>
  <c r="X14" i="7"/>
  <c r="X15" i="7"/>
  <c r="X16" i="7"/>
  <c r="X5" i="7"/>
  <c r="N17" i="4"/>
  <c r="N16" i="4"/>
  <c r="M17" i="4"/>
  <c r="M16" i="4"/>
  <c r="L17" i="4"/>
  <c r="L16" i="4"/>
  <c r="K17" i="4"/>
  <c r="K16" i="4"/>
  <c r="J17" i="4"/>
  <c r="H17" i="4"/>
  <c r="J16" i="4"/>
  <c r="G17" i="4"/>
  <c r="H16" i="4"/>
  <c r="F17" i="4"/>
  <c r="B17" i="4"/>
  <c r="F16" i="4"/>
  <c r="B16" i="4"/>
  <c r="G16" i="4"/>
  <c r="C17" i="4"/>
  <c r="C18" i="4"/>
  <c r="D18" i="4" s="1"/>
  <c r="H8" i="7"/>
  <c r="G8" i="7"/>
  <c r="F8" i="7"/>
  <c r="C8" i="7"/>
  <c r="H7" i="2"/>
  <c r="F7" i="2"/>
  <c r="E7" i="2"/>
  <c r="D7" i="2"/>
  <c r="C7" i="2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T11" i="8" l="1"/>
  <c r="T14" i="8"/>
  <c r="T16" i="8"/>
  <c r="T12" i="8"/>
  <c r="T15" i="8"/>
  <c r="S8" i="8"/>
  <c r="S10" i="8"/>
  <c r="S12" i="8"/>
  <c r="S15" i="8"/>
  <c r="S6" i="8"/>
  <c r="S9" i="8"/>
  <c r="S11" i="8"/>
  <c r="S14" i="8"/>
  <c r="S16" i="8"/>
  <c r="T5" i="8"/>
  <c r="S5" i="8"/>
  <c r="D17" i="4"/>
  <c r="Q18" i="6"/>
  <c r="O16" i="4"/>
  <c r="H7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T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R9" i="3"/>
  <c r="Q9" i="3"/>
  <c r="P9" i="3"/>
  <c r="O9" i="3"/>
  <c r="N9" i="3"/>
  <c r="M9" i="3"/>
  <c r="L9" i="3"/>
  <c r="K9" i="3"/>
  <c r="J9" i="3"/>
  <c r="I9" i="3"/>
  <c r="H9" i="3"/>
  <c r="G9" i="3"/>
  <c r="F9" i="3"/>
  <c r="T7" i="3"/>
  <c r="R7" i="3"/>
  <c r="Q7" i="3"/>
  <c r="P7" i="3"/>
  <c r="O7" i="3"/>
  <c r="N7" i="3"/>
  <c r="M7" i="3"/>
  <c r="L7" i="3"/>
  <c r="K7" i="3"/>
  <c r="J7" i="3"/>
  <c r="I7" i="3"/>
  <c r="G7" i="3"/>
  <c r="F7" i="3"/>
  <c r="R6" i="3"/>
  <c r="Q6" i="3"/>
  <c r="P6" i="3"/>
  <c r="O6" i="3"/>
  <c r="N6" i="3"/>
  <c r="M6" i="3"/>
  <c r="L6" i="3"/>
  <c r="K6" i="3"/>
  <c r="J6" i="3"/>
  <c r="I6" i="3"/>
  <c r="H6" i="3"/>
  <c r="G6" i="3"/>
  <c r="F6" i="3"/>
  <c r="R5" i="3"/>
  <c r="Q5" i="3"/>
  <c r="P5" i="3"/>
  <c r="O5" i="3"/>
  <c r="N5" i="3"/>
  <c r="M5" i="3"/>
  <c r="L5" i="3"/>
  <c r="K5" i="3"/>
  <c r="J5" i="3"/>
  <c r="I5" i="3"/>
  <c r="H5" i="3"/>
  <c r="G5" i="3"/>
  <c r="F5" i="3"/>
  <c r="S20" i="8" l="1"/>
  <c r="N15" i="4"/>
  <c r="N14" i="4"/>
  <c r="N13" i="4"/>
  <c r="N12" i="4"/>
  <c r="N11" i="4"/>
  <c r="N10" i="4"/>
  <c r="N9" i="4"/>
  <c r="N8" i="4"/>
  <c r="N7" i="4"/>
  <c r="N6" i="4"/>
  <c r="N5" i="4"/>
  <c r="N4" i="4"/>
  <c r="M15" i="4"/>
  <c r="M14" i="4"/>
  <c r="M13" i="4"/>
  <c r="M12" i="4"/>
  <c r="M11" i="4"/>
  <c r="M10" i="4"/>
  <c r="M9" i="4"/>
  <c r="M8" i="4"/>
  <c r="M7" i="4"/>
  <c r="M6" i="4"/>
  <c r="M5" i="4"/>
  <c r="M4" i="4"/>
  <c r="L15" i="4"/>
  <c r="L14" i="4"/>
  <c r="L13" i="4"/>
  <c r="L12" i="4"/>
  <c r="L11" i="4"/>
  <c r="L10" i="4"/>
  <c r="L9" i="4"/>
  <c r="L8" i="4"/>
  <c r="L7" i="4"/>
  <c r="L5" i="4"/>
  <c r="L4" i="4"/>
  <c r="M19" i="4" l="1"/>
  <c r="N19" i="4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R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R5" i="6"/>
  <c r="P5" i="6"/>
  <c r="O5" i="6"/>
  <c r="N5" i="6"/>
  <c r="M5" i="6"/>
  <c r="L5" i="6"/>
  <c r="K5" i="6"/>
  <c r="J5" i="6"/>
  <c r="I5" i="6"/>
  <c r="H5" i="6"/>
  <c r="G5" i="6"/>
  <c r="F5" i="6"/>
  <c r="E5" i="6"/>
  <c r="D5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K15" i="4"/>
  <c r="J15" i="4"/>
  <c r="H15" i="4"/>
  <c r="G15" i="4"/>
  <c r="F15" i="4"/>
  <c r="E15" i="4"/>
  <c r="B15" i="4"/>
  <c r="K14" i="4"/>
  <c r="J14" i="4"/>
  <c r="H14" i="4"/>
  <c r="G14" i="4"/>
  <c r="F14" i="4"/>
  <c r="E14" i="4"/>
  <c r="B14" i="4"/>
  <c r="K13" i="4"/>
  <c r="J13" i="4"/>
  <c r="H13" i="4"/>
  <c r="G13" i="4"/>
  <c r="F13" i="4"/>
  <c r="E13" i="4"/>
  <c r="B13" i="4"/>
  <c r="K12" i="4"/>
  <c r="J12" i="4"/>
  <c r="H12" i="4"/>
  <c r="G12" i="4"/>
  <c r="F12" i="4"/>
  <c r="E12" i="4"/>
  <c r="B12" i="4"/>
  <c r="K11" i="4"/>
  <c r="J11" i="4"/>
  <c r="H11" i="4"/>
  <c r="G11" i="4"/>
  <c r="F11" i="4"/>
  <c r="E11" i="4"/>
  <c r="B11" i="4"/>
  <c r="K10" i="4"/>
  <c r="J10" i="4"/>
  <c r="H10" i="4"/>
  <c r="G10" i="4"/>
  <c r="F10" i="4"/>
  <c r="E10" i="4"/>
  <c r="B10" i="4"/>
  <c r="K9" i="4"/>
  <c r="J9" i="4"/>
  <c r="H9" i="4"/>
  <c r="G9" i="4"/>
  <c r="F9" i="4"/>
  <c r="E9" i="4"/>
  <c r="B9" i="4"/>
  <c r="K8" i="4"/>
  <c r="J8" i="4"/>
  <c r="I8" i="4"/>
  <c r="H8" i="4"/>
  <c r="G8" i="4"/>
  <c r="F8" i="4"/>
  <c r="E8" i="4"/>
  <c r="B8" i="4"/>
  <c r="K7" i="4"/>
  <c r="J7" i="4"/>
  <c r="I7" i="4"/>
  <c r="H7" i="4"/>
  <c r="G7" i="4"/>
  <c r="F7" i="4"/>
  <c r="E7" i="4"/>
  <c r="B7" i="4"/>
  <c r="L6" i="4"/>
  <c r="L19" i="4" s="1"/>
  <c r="K6" i="4"/>
  <c r="J6" i="4"/>
  <c r="I6" i="4"/>
  <c r="H6" i="4"/>
  <c r="G6" i="4"/>
  <c r="F6" i="4"/>
  <c r="E6" i="4"/>
  <c r="B6" i="4"/>
  <c r="K5" i="4"/>
  <c r="J5" i="4"/>
  <c r="I5" i="4"/>
  <c r="H5" i="4"/>
  <c r="G5" i="4"/>
  <c r="F5" i="4"/>
  <c r="E5" i="4"/>
  <c r="B5" i="4"/>
  <c r="K4" i="4"/>
  <c r="J4" i="4"/>
  <c r="I4" i="4"/>
  <c r="H4" i="4"/>
  <c r="G4" i="4"/>
  <c r="F4" i="4"/>
  <c r="E4" i="4"/>
  <c r="B4" i="4"/>
  <c r="H16" i="7"/>
  <c r="G16" i="7"/>
  <c r="F16" i="7"/>
  <c r="C16" i="7"/>
  <c r="H15" i="7"/>
  <c r="G15" i="7"/>
  <c r="F15" i="7"/>
  <c r="C15" i="7"/>
  <c r="H14" i="7"/>
  <c r="G14" i="7"/>
  <c r="F14" i="7"/>
  <c r="C14" i="7"/>
  <c r="H12" i="7"/>
  <c r="G12" i="7"/>
  <c r="F12" i="7"/>
  <c r="C12" i="7"/>
  <c r="H11" i="7"/>
  <c r="G11" i="7"/>
  <c r="F11" i="7"/>
  <c r="C11" i="7"/>
  <c r="H9" i="7"/>
  <c r="G9" i="7"/>
  <c r="F9" i="7"/>
  <c r="C9" i="7"/>
  <c r="H6" i="7"/>
  <c r="G6" i="7"/>
  <c r="F6" i="7"/>
  <c r="C6" i="7"/>
  <c r="H5" i="7"/>
  <c r="G5" i="7"/>
  <c r="F5" i="7"/>
  <c r="C5" i="7"/>
  <c r="H15" i="2"/>
  <c r="F15" i="2"/>
  <c r="E15" i="2"/>
  <c r="D15" i="2"/>
  <c r="C15" i="2"/>
  <c r="H14" i="2"/>
  <c r="F14" i="2"/>
  <c r="E14" i="2"/>
  <c r="D14" i="2"/>
  <c r="C14" i="2"/>
  <c r="H13" i="2"/>
  <c r="F13" i="2"/>
  <c r="E13" i="2"/>
  <c r="D13" i="2"/>
  <c r="C13" i="2"/>
  <c r="H12" i="2"/>
  <c r="F12" i="2"/>
  <c r="E12" i="2"/>
  <c r="D12" i="2"/>
  <c r="C12" i="2"/>
  <c r="H11" i="2"/>
  <c r="F11" i="2"/>
  <c r="E11" i="2"/>
  <c r="D11" i="2"/>
  <c r="C11" i="2"/>
  <c r="H10" i="2"/>
  <c r="F10" i="2"/>
  <c r="E10" i="2"/>
  <c r="D10" i="2"/>
  <c r="H8" i="2"/>
  <c r="F8" i="2"/>
  <c r="E8" i="2"/>
  <c r="D8" i="2"/>
  <c r="C8" i="2"/>
  <c r="H6" i="2"/>
  <c r="F6" i="2"/>
  <c r="E6" i="2"/>
  <c r="D6" i="2"/>
  <c r="C6" i="2"/>
  <c r="H5" i="2"/>
  <c r="F5" i="2"/>
  <c r="E5" i="2"/>
  <c r="D5" i="2"/>
  <c r="C5" i="2"/>
  <c r="H4" i="2"/>
  <c r="F4" i="2"/>
  <c r="E4" i="2"/>
  <c r="D4" i="2"/>
  <c r="C4" i="2"/>
  <c r="F19" i="4" l="1"/>
  <c r="H19" i="4"/>
  <c r="B19" i="4"/>
  <c r="E19" i="4"/>
  <c r="G19" i="4"/>
  <c r="J19" i="4"/>
  <c r="E5" i="7"/>
  <c r="I19" i="4"/>
  <c r="K19" i="4"/>
  <c r="O7" i="4"/>
  <c r="O8" i="4"/>
  <c r="O9" i="4"/>
  <c r="O11" i="4"/>
  <c r="O13" i="4"/>
  <c r="O15" i="4"/>
  <c r="O4" i="4"/>
  <c r="O5" i="4"/>
  <c r="O6" i="4"/>
  <c r="O10" i="4"/>
  <c r="O12" i="4"/>
  <c r="O14" i="4"/>
  <c r="E6" i="7"/>
  <c r="P19" i="4" l="1"/>
  <c r="X20" i="7" l="1"/>
  <c r="L102" i="1" l="1"/>
  <c r="S14" i="6" l="1"/>
  <c r="S13" i="6"/>
  <c r="C30" i="2"/>
  <c r="E23" i="2" l="1"/>
  <c r="C23" i="2"/>
  <c r="D23" i="2"/>
  <c r="S4" i="6"/>
  <c r="S9" i="6"/>
  <c r="S10" i="6"/>
  <c r="S11" i="6"/>
  <c r="S3" i="6"/>
  <c r="S5" i="6"/>
  <c r="S6" i="6"/>
  <c r="S7" i="6"/>
  <c r="S8" i="6"/>
  <c r="S12" i="6"/>
  <c r="B20" i="3"/>
  <c r="B20" i="8"/>
  <c r="B20" i="7"/>
  <c r="D6" i="7"/>
  <c r="E7" i="7"/>
  <c r="D7" i="7" s="1"/>
  <c r="E8" i="7"/>
  <c r="D8" i="7" s="1"/>
  <c r="E9" i="7"/>
  <c r="D9" i="7" s="1"/>
  <c r="E10" i="7"/>
  <c r="D10" i="7" s="1"/>
  <c r="E11" i="7"/>
  <c r="D11" i="7" s="1"/>
  <c r="E12" i="7"/>
  <c r="D12" i="7" s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D5" i="7"/>
  <c r="T18" i="6" l="1"/>
  <c r="I20" i="7"/>
  <c r="J20" i="7"/>
  <c r="C4" i="4" s="1"/>
  <c r="K20" i="7"/>
  <c r="L20" i="7"/>
  <c r="M20" i="7"/>
  <c r="C7" i="4" s="1"/>
  <c r="D7" i="4" s="1"/>
  <c r="N20" i="7"/>
  <c r="C9" i="4" s="1"/>
  <c r="D9" i="4" s="1"/>
  <c r="O20" i="7"/>
  <c r="C14" i="4" s="1"/>
  <c r="D14" i="4" s="1"/>
  <c r="P20" i="7"/>
  <c r="C15" i="4" s="1"/>
  <c r="D15" i="4" s="1"/>
  <c r="Q20" i="7"/>
  <c r="C13" i="4" s="1"/>
  <c r="D13" i="4" s="1"/>
  <c r="R20" i="7"/>
  <c r="C11" i="4" s="1"/>
  <c r="D11" i="4" s="1"/>
  <c r="S20" i="7"/>
  <c r="C8" i="4" s="1"/>
  <c r="D8" i="4" s="1"/>
  <c r="T20" i="7"/>
  <c r="C10" i="4" s="1"/>
  <c r="D10" i="4" s="1"/>
  <c r="U20" i="7"/>
  <c r="C12" i="4" s="1"/>
  <c r="D12" i="4" s="1"/>
  <c r="V20" i="7"/>
  <c r="C16" i="4" s="1"/>
  <c r="D16" i="4" s="1"/>
  <c r="G20" i="7"/>
  <c r="F20" i="7"/>
  <c r="C5" i="4" l="1"/>
  <c r="D5" i="4" s="1"/>
  <c r="W22" i="7"/>
  <c r="D4" i="4"/>
  <c r="C6" i="4"/>
  <c r="D6" i="4" s="1"/>
  <c r="C20" i="7"/>
  <c r="H20" i="7"/>
  <c r="E20" i="7" s="1"/>
  <c r="C19" i="4" l="1"/>
  <c r="D19" i="4" s="1"/>
  <c r="D20" i="7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R19" i="3"/>
  <c r="R18" i="3"/>
  <c r="R17" i="3"/>
  <c r="T19" i="3"/>
  <c r="T18" i="3"/>
  <c r="T17" i="3"/>
  <c r="H19" i="3"/>
  <c r="H18" i="3"/>
  <c r="H17" i="3"/>
  <c r="Q19" i="3"/>
  <c r="P19" i="3"/>
  <c r="O19" i="3"/>
  <c r="N19" i="3"/>
  <c r="M19" i="3"/>
  <c r="L19" i="3"/>
  <c r="K19" i="3"/>
  <c r="J19" i="3"/>
  <c r="I19" i="3"/>
  <c r="G19" i="3"/>
  <c r="F19" i="3"/>
  <c r="Q18" i="3"/>
  <c r="P18" i="3"/>
  <c r="O18" i="3"/>
  <c r="N18" i="3"/>
  <c r="M18" i="3"/>
  <c r="L18" i="3"/>
  <c r="K18" i="3"/>
  <c r="J18" i="3"/>
  <c r="I18" i="3"/>
  <c r="G18" i="3"/>
  <c r="F18" i="3"/>
  <c r="Q17" i="3"/>
  <c r="P17" i="3"/>
  <c r="O17" i="3"/>
  <c r="N17" i="3"/>
  <c r="M17" i="3"/>
  <c r="L17" i="3"/>
  <c r="K17" i="3"/>
  <c r="J17" i="3"/>
  <c r="I17" i="3"/>
  <c r="G17" i="3"/>
  <c r="F17" i="3"/>
  <c r="Q20" i="3" l="1"/>
  <c r="U8" i="3"/>
  <c r="U7" i="3"/>
  <c r="U10" i="3"/>
  <c r="U12" i="3"/>
  <c r="U14" i="3"/>
  <c r="U16" i="3"/>
  <c r="U17" i="3"/>
  <c r="U19" i="3"/>
  <c r="U6" i="3"/>
  <c r="U9" i="3"/>
  <c r="U11" i="3"/>
  <c r="U13" i="3"/>
  <c r="U15" i="3"/>
  <c r="U18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5" i="3"/>
  <c r="R17" i="6" l="1"/>
  <c r="T19" i="8" s="1"/>
  <c r="P17" i="6"/>
  <c r="R19" i="8" s="1"/>
  <c r="O17" i="6"/>
  <c r="Q19" i="8" s="1"/>
  <c r="N17" i="6"/>
  <c r="P19" i="8" s="1"/>
  <c r="M17" i="6"/>
  <c r="O19" i="8" s="1"/>
  <c r="L17" i="6"/>
  <c r="N19" i="8" s="1"/>
  <c r="K17" i="6"/>
  <c r="M19" i="8" s="1"/>
  <c r="J17" i="6"/>
  <c r="L19" i="8" s="1"/>
  <c r="I17" i="6"/>
  <c r="K19" i="8" s="1"/>
  <c r="H17" i="6"/>
  <c r="J19" i="8" s="1"/>
  <c r="G17" i="6"/>
  <c r="I19" i="8" s="1"/>
  <c r="F17" i="6"/>
  <c r="H19" i="8" s="1"/>
  <c r="E17" i="6"/>
  <c r="G19" i="8" s="1"/>
  <c r="D17" i="6"/>
  <c r="R16" i="6"/>
  <c r="T18" i="8" s="1"/>
  <c r="P16" i="6"/>
  <c r="R18" i="8" s="1"/>
  <c r="O16" i="6"/>
  <c r="Q18" i="8" s="1"/>
  <c r="N16" i="6"/>
  <c r="P18" i="8" s="1"/>
  <c r="M16" i="6"/>
  <c r="O18" i="8" s="1"/>
  <c r="L16" i="6"/>
  <c r="N18" i="8" s="1"/>
  <c r="K16" i="6"/>
  <c r="M18" i="8" s="1"/>
  <c r="J16" i="6"/>
  <c r="L18" i="8" s="1"/>
  <c r="I16" i="6"/>
  <c r="K18" i="8" s="1"/>
  <c r="H16" i="6"/>
  <c r="J18" i="8" s="1"/>
  <c r="G16" i="6"/>
  <c r="I18" i="8" s="1"/>
  <c r="F16" i="6"/>
  <c r="H18" i="8" s="1"/>
  <c r="E16" i="6"/>
  <c r="G18" i="8" s="1"/>
  <c r="D16" i="6"/>
  <c r="R15" i="6"/>
  <c r="T17" i="8" s="1"/>
  <c r="P15" i="6"/>
  <c r="R17" i="8" s="1"/>
  <c r="O15" i="6"/>
  <c r="Q17" i="8" s="1"/>
  <c r="N15" i="6"/>
  <c r="P17" i="8" s="1"/>
  <c r="M15" i="6"/>
  <c r="O17" i="8" s="1"/>
  <c r="L15" i="6"/>
  <c r="N17" i="8" s="1"/>
  <c r="K15" i="6"/>
  <c r="M17" i="8" s="1"/>
  <c r="J15" i="6"/>
  <c r="L17" i="8" s="1"/>
  <c r="I15" i="6"/>
  <c r="K17" i="8" s="1"/>
  <c r="H15" i="6"/>
  <c r="J17" i="8" s="1"/>
  <c r="G15" i="6"/>
  <c r="I17" i="8" s="1"/>
  <c r="F15" i="6"/>
  <c r="H17" i="8" s="1"/>
  <c r="E15" i="6"/>
  <c r="G17" i="8" s="1"/>
  <c r="D15" i="6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F5" i="8"/>
  <c r="R14" i="8"/>
  <c r="Q14" i="8"/>
  <c r="I14" i="8"/>
  <c r="Q12" i="8"/>
  <c r="R11" i="8"/>
  <c r="Q11" i="8"/>
  <c r="I11" i="8"/>
  <c r="R10" i="8"/>
  <c r="Q10" i="8"/>
  <c r="I10" i="8"/>
  <c r="R9" i="8"/>
  <c r="Q9" i="8"/>
  <c r="I9" i="8"/>
  <c r="Q8" i="8"/>
  <c r="T7" i="8"/>
  <c r="R7" i="8"/>
  <c r="Q7" i="8"/>
  <c r="I7" i="8"/>
  <c r="R6" i="8"/>
  <c r="Q6" i="8"/>
  <c r="I6" i="8"/>
  <c r="R5" i="8"/>
  <c r="Q5" i="8"/>
  <c r="I5" i="8"/>
  <c r="P14" i="8"/>
  <c r="O14" i="8"/>
  <c r="N14" i="8"/>
  <c r="M14" i="8"/>
  <c r="L14" i="8"/>
  <c r="K14" i="8"/>
  <c r="J14" i="8"/>
  <c r="H14" i="8"/>
  <c r="G14" i="8"/>
  <c r="F14" i="8"/>
  <c r="T13" i="8"/>
  <c r="R13" i="8"/>
  <c r="Q13" i="8"/>
  <c r="I13" i="8"/>
  <c r="P13" i="8"/>
  <c r="O13" i="8"/>
  <c r="N13" i="8"/>
  <c r="M13" i="8"/>
  <c r="L13" i="8"/>
  <c r="K13" i="8"/>
  <c r="J13" i="8"/>
  <c r="H13" i="8"/>
  <c r="G13" i="8"/>
  <c r="F13" i="8"/>
  <c r="R12" i="8"/>
  <c r="I12" i="8"/>
  <c r="P12" i="8"/>
  <c r="O12" i="8"/>
  <c r="N12" i="8"/>
  <c r="M12" i="8"/>
  <c r="L12" i="8"/>
  <c r="K12" i="8"/>
  <c r="J12" i="8"/>
  <c r="H12" i="8"/>
  <c r="G12" i="8"/>
  <c r="F12" i="8"/>
  <c r="P11" i="8"/>
  <c r="O11" i="8"/>
  <c r="N11" i="8"/>
  <c r="M11" i="8"/>
  <c r="L11" i="8"/>
  <c r="K11" i="8"/>
  <c r="J11" i="8"/>
  <c r="H11" i="8"/>
  <c r="G11" i="8"/>
  <c r="F11" i="8"/>
  <c r="P10" i="8"/>
  <c r="O10" i="8"/>
  <c r="N10" i="8"/>
  <c r="M10" i="8"/>
  <c r="L10" i="8"/>
  <c r="K10" i="8"/>
  <c r="J10" i="8"/>
  <c r="H10" i="8"/>
  <c r="G10" i="8"/>
  <c r="F10" i="8"/>
  <c r="P9" i="8"/>
  <c r="O9" i="8"/>
  <c r="N9" i="8"/>
  <c r="M9" i="8"/>
  <c r="L9" i="8"/>
  <c r="K9" i="8"/>
  <c r="J9" i="8"/>
  <c r="H9" i="8"/>
  <c r="G9" i="8"/>
  <c r="F9" i="8"/>
  <c r="R8" i="8"/>
  <c r="I8" i="8"/>
  <c r="P8" i="8"/>
  <c r="O8" i="8"/>
  <c r="N8" i="8"/>
  <c r="M8" i="8"/>
  <c r="L8" i="8"/>
  <c r="K8" i="8"/>
  <c r="J8" i="8"/>
  <c r="H8" i="8"/>
  <c r="G8" i="8"/>
  <c r="F8" i="8"/>
  <c r="P7" i="8"/>
  <c r="O7" i="8"/>
  <c r="N7" i="8"/>
  <c r="M7" i="8"/>
  <c r="L7" i="8"/>
  <c r="K7" i="8"/>
  <c r="J7" i="8"/>
  <c r="H7" i="8"/>
  <c r="G7" i="8"/>
  <c r="F7" i="8"/>
  <c r="F6" i="8"/>
  <c r="P6" i="8"/>
  <c r="O6" i="8"/>
  <c r="N6" i="8"/>
  <c r="M6" i="8"/>
  <c r="L6" i="8"/>
  <c r="K6" i="8"/>
  <c r="J6" i="8"/>
  <c r="H6" i="8"/>
  <c r="G6" i="8"/>
  <c r="H5" i="8"/>
  <c r="P5" i="8"/>
  <c r="O5" i="8"/>
  <c r="N5" i="8"/>
  <c r="M5" i="8"/>
  <c r="L5" i="8"/>
  <c r="K5" i="8"/>
  <c r="J5" i="8"/>
  <c r="G5" i="8"/>
  <c r="C17" i="6"/>
  <c r="U19" i="8" s="1"/>
  <c r="C16" i="6"/>
  <c r="U18" i="8" s="1"/>
  <c r="C15" i="6"/>
  <c r="U17" i="8" s="1"/>
  <c r="U16" i="8"/>
  <c r="U15" i="8"/>
  <c r="U14" i="8"/>
  <c r="U13" i="8"/>
  <c r="U12" i="8"/>
  <c r="U11" i="8"/>
  <c r="U10" i="8"/>
  <c r="U9" i="8"/>
  <c r="U8" i="8"/>
  <c r="C5" i="6"/>
  <c r="U7" i="8" s="1"/>
  <c r="U6" i="8"/>
  <c r="U5" i="8"/>
  <c r="F20" i="8" l="1"/>
  <c r="J20" i="8"/>
  <c r="L20" i="8"/>
  <c r="N20" i="8"/>
  <c r="P20" i="8"/>
  <c r="G20" i="8"/>
  <c r="K20" i="8"/>
  <c r="M20" i="8"/>
  <c r="O20" i="8"/>
  <c r="H20" i="8"/>
  <c r="Q20" i="8"/>
  <c r="I20" i="8"/>
  <c r="R20" i="8"/>
  <c r="W9" i="8"/>
  <c r="W10" i="8"/>
  <c r="W11" i="8"/>
  <c r="W12" i="8"/>
  <c r="W13" i="8"/>
  <c r="W14" i="8"/>
  <c r="W8" i="8"/>
  <c r="W7" i="8"/>
  <c r="W6" i="8"/>
  <c r="W15" i="8"/>
  <c r="W16" i="8"/>
  <c r="W5" i="8"/>
  <c r="F17" i="8"/>
  <c r="S15" i="6"/>
  <c r="F18" i="8"/>
  <c r="S16" i="6"/>
  <c r="F19" i="8"/>
  <c r="S17" i="6"/>
  <c r="U20" i="8"/>
  <c r="T20" i="8"/>
  <c r="D18" i="6"/>
  <c r="G18" i="6"/>
  <c r="I18" i="6"/>
  <c r="M18" i="6"/>
  <c r="O18" i="6"/>
  <c r="R18" i="6"/>
  <c r="E18" i="6"/>
  <c r="K18" i="6"/>
  <c r="P18" i="6"/>
  <c r="C18" i="6"/>
  <c r="F18" i="6"/>
  <c r="H18" i="6"/>
  <c r="J18" i="6"/>
  <c r="L18" i="6"/>
  <c r="N18" i="6"/>
  <c r="C19" i="8"/>
  <c r="D19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6" i="8"/>
  <c r="D6" i="8" s="1"/>
  <c r="C5" i="8"/>
  <c r="D5" i="8" s="1"/>
  <c r="U5" i="3"/>
  <c r="M22" i="8" l="1"/>
  <c r="S18" i="6"/>
  <c r="C20" i="2"/>
  <c r="C20" i="8"/>
  <c r="D20" i="8" s="1"/>
  <c r="H20" i="2" l="1"/>
  <c r="C6" i="3"/>
  <c r="C7" i="3"/>
  <c r="C8" i="3"/>
  <c r="C9" i="3"/>
  <c r="C10" i="3"/>
  <c r="C11" i="3"/>
  <c r="C12" i="3"/>
  <c r="C13" i="3"/>
  <c r="C14" i="3"/>
  <c r="C15" i="3"/>
  <c r="C16" i="3"/>
  <c r="D16" i="3" s="1"/>
  <c r="C17" i="3"/>
  <c r="C18" i="3"/>
  <c r="C19" i="3"/>
  <c r="C5" i="3"/>
  <c r="V5" i="3" l="1"/>
  <c r="W5" i="3" s="1"/>
  <c r="D5" i="3"/>
  <c r="V18" i="3"/>
  <c r="W18" i="3" s="1"/>
  <c r="D18" i="3"/>
  <c r="V15" i="3"/>
  <c r="W15" i="3" s="1"/>
  <c r="D15" i="3"/>
  <c r="V13" i="3"/>
  <c r="W13" i="3" s="1"/>
  <c r="D13" i="3"/>
  <c r="V11" i="3"/>
  <c r="W11" i="3" s="1"/>
  <c r="D11" i="3"/>
  <c r="V9" i="3"/>
  <c r="W9" i="3" s="1"/>
  <c r="D9" i="3"/>
  <c r="V7" i="3"/>
  <c r="W7" i="3" s="1"/>
  <c r="D7" i="3"/>
  <c r="V19" i="3"/>
  <c r="W19" i="3" s="1"/>
  <c r="D19" i="3"/>
  <c r="V17" i="3"/>
  <c r="W17" i="3" s="1"/>
  <c r="D17" i="3"/>
  <c r="V16" i="3"/>
  <c r="W16" i="3" s="1"/>
  <c r="V14" i="3"/>
  <c r="W14" i="3" s="1"/>
  <c r="D14" i="3"/>
  <c r="V12" i="3"/>
  <c r="W12" i="3" s="1"/>
  <c r="D12" i="3"/>
  <c r="V10" i="3"/>
  <c r="W10" i="3" s="1"/>
  <c r="D10" i="3"/>
  <c r="V8" i="3"/>
  <c r="W8" i="3" s="1"/>
  <c r="D8" i="3"/>
  <c r="V6" i="3"/>
  <c r="W6" i="3" s="1"/>
  <c r="D6" i="3"/>
  <c r="F20" i="2" l="1"/>
  <c r="D20" i="2" l="1"/>
  <c r="G4" i="2" l="1"/>
  <c r="I4" i="2" s="1"/>
  <c r="C20" i="3" l="1"/>
  <c r="F21" i="4" l="1"/>
  <c r="T20" i="3"/>
  <c r="R20" i="3"/>
  <c r="P20" i="3"/>
  <c r="O20" i="3"/>
  <c r="N20" i="3"/>
  <c r="M20" i="3"/>
  <c r="L20" i="3"/>
  <c r="K20" i="3"/>
  <c r="J20" i="3"/>
  <c r="I20" i="3"/>
  <c r="H20" i="3"/>
  <c r="G20" i="3"/>
  <c r="F20" i="3"/>
  <c r="G7" i="2"/>
  <c r="I7" i="2" s="1"/>
  <c r="G9" i="2"/>
  <c r="I9" i="2" s="1"/>
  <c r="G6" i="2"/>
  <c r="I6" i="2" s="1"/>
  <c r="G10" i="2"/>
  <c r="I10" i="2" s="1"/>
  <c r="G11" i="2"/>
  <c r="I11" i="2" s="1"/>
  <c r="E20" i="2"/>
  <c r="C22" i="2" s="1"/>
  <c r="G14" i="2"/>
  <c r="I14" i="2" s="1"/>
  <c r="G13" i="2"/>
  <c r="I13" i="2" s="1"/>
  <c r="G12" i="2"/>
  <c r="I12" i="2" s="1"/>
  <c r="G8" i="2"/>
  <c r="I8" i="2" s="1"/>
  <c r="G15" i="2"/>
  <c r="I15" i="2" s="1"/>
  <c r="G5" i="2"/>
  <c r="I5" i="2" s="1"/>
  <c r="U20" i="3" l="1"/>
  <c r="G20" i="2"/>
  <c r="I20" i="2" s="1"/>
  <c r="D20" i="3"/>
  <c r="V20" i="3" l="1"/>
  <c r="W20" i="3" s="1"/>
</calcChain>
</file>

<file path=xl/sharedStrings.xml><?xml version="1.0" encoding="utf-8"?>
<sst xmlns="http://schemas.openxmlformats.org/spreadsheetml/2006/main" count="1319" uniqueCount="440">
  <si>
    <t>Ф.И.О. участника</t>
  </si>
  <si>
    <t>УО</t>
  </si>
  <si>
    <t>Ф.ИО.учителя</t>
  </si>
  <si>
    <t>Диплом</t>
  </si>
  <si>
    <t>Предмет</t>
  </si>
  <si>
    <t>Набрано баллов</t>
  </si>
  <si>
    <t>%</t>
  </si>
  <si>
    <t>Макс. кол-во баллов</t>
  </si>
  <si>
    <t>Класс</t>
  </si>
  <si>
    <t>№ п/п</t>
  </si>
  <si>
    <t>СШ №2 г.Сенно</t>
  </si>
  <si>
    <t>Богушевская СШ №1</t>
  </si>
  <si>
    <t>Студёнковская ДССШ</t>
  </si>
  <si>
    <t>СШ №1 г.Сенно</t>
  </si>
  <si>
    <t>Мошканская ДССШ</t>
  </si>
  <si>
    <t>Белицкая ДССШ</t>
  </si>
  <si>
    <t>Коковчинская ДССШ</t>
  </si>
  <si>
    <t>II</t>
  </si>
  <si>
    <t>III</t>
  </si>
  <si>
    <t>I</t>
  </si>
  <si>
    <t>Ульяновичская ДСБШ</t>
  </si>
  <si>
    <t>№</t>
  </si>
  <si>
    <t>Степени дипломов</t>
  </si>
  <si>
    <t>Похвальные листы</t>
  </si>
  <si>
    <t>СШ №2г.Сенно</t>
  </si>
  <si>
    <t>Немойтовская ДСБШ</t>
  </si>
  <si>
    <t>Всего дипломов</t>
  </si>
  <si>
    <t>Богушевская санаторная школа-интернат</t>
  </si>
  <si>
    <t>Итого:</t>
  </si>
  <si>
    <t>БЕЛ.ЯЗ.</t>
  </si>
  <si>
    <t>РУС.ЯЗ.</t>
  </si>
  <si>
    <t>АНГЛ.ЯЗ.</t>
  </si>
  <si>
    <t>НЕМ.ЯЗ.</t>
  </si>
  <si>
    <t>МАТЕМАТ</t>
  </si>
  <si>
    <t>ИНФОРМ.</t>
  </si>
  <si>
    <t>ИСТОРИЯ</t>
  </si>
  <si>
    <t>ОБЩЕСТВ</t>
  </si>
  <si>
    <t>ГЕОГРАФ.</t>
  </si>
  <si>
    <t>Мощенская ДССШ</t>
  </si>
  <si>
    <t>Студенковская ДССШ</t>
  </si>
  <si>
    <t>Богушевская санаторн. школа-интернат</t>
  </si>
  <si>
    <t>Всего</t>
  </si>
  <si>
    <t xml:space="preserve">% побе
дите
лей
</t>
  </si>
  <si>
    <t>В разрезе предметов (кол-во дипломов I, II и III степени) 9-11 класс</t>
  </si>
  <si>
    <t>БИОЛОГ</t>
  </si>
  <si>
    <t>ФИЗИКА</t>
  </si>
  <si>
    <t>АСТРОН.</t>
  </si>
  <si>
    <t>ХИМИЯ</t>
  </si>
  <si>
    <t xml:space="preserve">Предмет </t>
  </si>
  <si>
    <t>Количество участников районного этапа</t>
  </si>
  <si>
    <t>Кол-во победи-телей</t>
  </si>
  <si>
    <t>Результативность участия (%)</t>
  </si>
  <si>
    <t>Диплом 1-ой степени</t>
  </si>
  <si>
    <t>Диплом 2-ой степени</t>
  </si>
  <si>
    <t>Диплом 3-ой степени</t>
  </si>
  <si>
    <t>Похвальный лист</t>
  </si>
  <si>
    <t>Русский язык и литература</t>
  </si>
  <si>
    <t>Белорусский язык и литература</t>
  </si>
  <si>
    <t>Иностранный язык (англ, нем)</t>
  </si>
  <si>
    <t>Математика</t>
  </si>
  <si>
    <t xml:space="preserve">Физика </t>
  </si>
  <si>
    <t xml:space="preserve">Информатика </t>
  </si>
  <si>
    <t xml:space="preserve">Астрономия </t>
  </si>
  <si>
    <t xml:space="preserve">Биология </t>
  </si>
  <si>
    <t>Химия</t>
  </si>
  <si>
    <t xml:space="preserve">География </t>
  </si>
  <si>
    <t xml:space="preserve">История </t>
  </si>
  <si>
    <t xml:space="preserve">Обществоведение </t>
  </si>
  <si>
    <t>Кол-во победителей 8 класса</t>
  </si>
  <si>
    <t>Всего участников</t>
  </si>
  <si>
    <t>% Результативность участия</t>
  </si>
  <si>
    <t>п.л.</t>
  </si>
  <si>
    <t>Яновская ДСБШ</t>
  </si>
  <si>
    <t xml:space="preserve">Количество дипломов
</t>
  </si>
  <si>
    <t xml:space="preserve">Стали победителями
(всего)
</t>
  </si>
  <si>
    <t>Всего побед-лей</t>
  </si>
  <si>
    <t>Количество участников, неотмеченных дипл или п.л.</t>
  </si>
  <si>
    <t>Участники, показавшие нерезультативное выступление</t>
  </si>
  <si>
    <t>Участники</t>
  </si>
  <si>
    <t>Ходцевская ДССШ</t>
  </si>
  <si>
    <t xml:space="preserve">Сенненский район
2017/2018 уч.г.
Наименование учреждений образования
</t>
  </si>
  <si>
    <t>Ливанская Алеся Николаевна</t>
  </si>
  <si>
    <t>Кол-во победителей 5 класса</t>
  </si>
  <si>
    <t>Кол-во победителей 6 класса</t>
  </si>
  <si>
    <t>Кол-во победителей 7 класса</t>
  </si>
  <si>
    <t>Кол-во победителей 4 класса</t>
  </si>
  <si>
    <t>Шидловская Ольга Петровна</t>
  </si>
  <si>
    <t>Подрез Татьяна Петровна</t>
  </si>
  <si>
    <t>физика</t>
  </si>
  <si>
    <t>Из них приняло участие в районной  (весенней) олимпиаде</t>
  </si>
  <si>
    <t>география</t>
  </si>
  <si>
    <t>бел.яз и лит.</t>
  </si>
  <si>
    <t>химия</t>
  </si>
  <si>
    <t>Богдановская ДСНШ</t>
  </si>
  <si>
    <t>математика</t>
  </si>
  <si>
    <t>Ермакова Татьяна Леонидовна</t>
  </si>
  <si>
    <t>Английский язык</t>
  </si>
  <si>
    <t>Винник Ольга Анатольевна</t>
  </si>
  <si>
    <t>Мизавцова Елена Борисовна</t>
  </si>
  <si>
    <t>история</t>
  </si>
  <si>
    <t>Тереня Тамара Васильевна</t>
  </si>
  <si>
    <t>Бабарико Татьяна Михайловна</t>
  </si>
  <si>
    <t>Прокопович Татьяна Васильевна</t>
  </si>
  <si>
    <t>Всего уч-ся 4-9 кл</t>
  </si>
  <si>
    <t>Кол-во победителей 9 класса</t>
  </si>
  <si>
    <t>Всего: 4 -9 класс</t>
  </si>
  <si>
    <t>Всего уч-ся 4 9кл</t>
  </si>
  <si>
    <t xml:space="preserve">Из них приняло участие </t>
  </si>
  <si>
    <t>Богдановская  ДСНШ</t>
  </si>
  <si>
    <t>Богушевская СШ</t>
  </si>
  <si>
    <t xml:space="preserve">Богушевская СШ </t>
  </si>
  <si>
    <t xml:space="preserve">Богушевская </t>
  </si>
  <si>
    <t>Булитко Мария Сергеевна</t>
  </si>
  <si>
    <t>Соколовский Денис Дмитриевич</t>
  </si>
  <si>
    <t>Карпович Александр Иванович</t>
  </si>
  <si>
    <t>Савлевич Артём Дмитриевич</t>
  </si>
  <si>
    <t>Пронько Дарья Сергеевна</t>
  </si>
  <si>
    <t>Дешкевич Сергей Олегович</t>
  </si>
  <si>
    <t>Атаманская Софья Игоревна</t>
  </si>
  <si>
    <t>Блашков Иван Николаевич</t>
  </si>
  <si>
    <t>Цуран Анастасия Артёмовна</t>
  </si>
  <si>
    <t>Жуменок Максим Александрович</t>
  </si>
  <si>
    <t>Сапежинский Никита Максимович</t>
  </si>
  <si>
    <t>Миничук Тимофей Андреевич</t>
  </si>
  <si>
    <t>Глухарёва Дарья Денисовна</t>
  </si>
  <si>
    <t>Леонова Татьяна Владимировна</t>
  </si>
  <si>
    <t>Скиба Иван Александрович</t>
  </si>
  <si>
    <t>Миронова Татьяна Олеговна</t>
  </si>
  <si>
    <t>Полуночкина Александра Николаевна</t>
  </si>
  <si>
    <t>Бинтяй Роман Васильевич</t>
  </si>
  <si>
    <t>Красновская Елизавета Алексеевна</t>
  </si>
  <si>
    <t>Семенкова Мария Андреевна</t>
  </si>
  <si>
    <t>Витковский Никита Александрович</t>
  </si>
  <si>
    <t>Дегтярев Павел Александрович</t>
  </si>
  <si>
    <t>Пограничный Матвей Михайлович</t>
  </si>
  <si>
    <t>Горбачёва Анна Александровна</t>
  </si>
  <si>
    <t>Булыня Глеб Андреевич</t>
  </si>
  <si>
    <t>Дегтярева Мария Александровна</t>
  </si>
  <si>
    <t>Султанова Вероника Максимовна</t>
  </si>
  <si>
    <t>Берашевич Анна Николаевна</t>
  </si>
  <si>
    <t>Труд обслуживающий</t>
  </si>
  <si>
    <t>Дегалевич Злата Алексеевна</t>
  </si>
  <si>
    <t>Ковалева Амина Анатольевна</t>
  </si>
  <si>
    <t>Ковалева Ясмина Анатольевна</t>
  </si>
  <si>
    <t>Павлючик Елизавета Дмитриевна</t>
  </si>
  <si>
    <t>Павловская Светлана Фёдоровна</t>
  </si>
  <si>
    <t>Шаранович Александра Михайловна</t>
  </si>
  <si>
    <t>Полякова Виктория Евгеньевна</t>
  </si>
  <si>
    <t>Сипарова Оксана Геннадьевна</t>
  </si>
  <si>
    <t>Шибеко Ксения Алексеевна</t>
  </si>
  <si>
    <t>Шубко Карина Юрьевна</t>
  </si>
  <si>
    <t>Костюченко Юлия Юрьевна</t>
  </si>
  <si>
    <t>Труд  технический</t>
  </si>
  <si>
    <t>Биология</t>
  </si>
  <si>
    <t>Антонюк Макар Максимович</t>
  </si>
  <si>
    <t>Горенькова Полина Витальевна</t>
  </si>
  <si>
    <t>Колдачёв Роман Александрович</t>
  </si>
  <si>
    <t>Физическая культура и здоровье</t>
  </si>
  <si>
    <t>ТРУД обслуживающий</t>
  </si>
  <si>
    <t>ТРУД технический</t>
  </si>
  <si>
    <t>Горчинский Даниил Александрович</t>
  </si>
  <si>
    <t>Рачковский Иван Васильевич</t>
  </si>
  <si>
    <t>Стрижнёв Алексей Дмитриевич</t>
  </si>
  <si>
    <t>Корсун Владислава Алексеевна</t>
  </si>
  <si>
    <t>Новичкова Ксения Павловна</t>
  </si>
  <si>
    <t>Шавкун Нина Анатольевна</t>
  </si>
  <si>
    <t>Кекиш Дарья Алексеевна</t>
  </si>
  <si>
    <t>Ланина Л.В.</t>
  </si>
  <si>
    <t>Солдатенкова Александра Дмитриевна</t>
  </si>
  <si>
    <t>Савлевич Н.Н.</t>
  </si>
  <si>
    <t>Башкирин Никита Владимирович</t>
  </si>
  <si>
    <t>Камович Артём Александрович</t>
  </si>
  <si>
    <t>Барышкова Т.Н.</t>
  </si>
  <si>
    <t>Погорельский Владислав Сергеевич</t>
  </si>
  <si>
    <t>Подобед Дмитрий Юрьевич</t>
  </si>
  <si>
    <t>Кучинская Е.А.</t>
  </si>
  <si>
    <t>Зайцева Ксения Андреевна</t>
  </si>
  <si>
    <t>Горнак Майя Артёмовна</t>
  </si>
  <si>
    <t>Голубцов Ю.В.</t>
  </si>
  <si>
    <t>Величинская Ульяна Дмитриевна</t>
  </si>
  <si>
    <t>Васильева Злата Александровна</t>
  </si>
  <si>
    <t>Радионенко Денис Дмитриевич</t>
  </si>
  <si>
    <t>Поляшкевич О.Н.</t>
  </si>
  <si>
    <t>Кандратова Кристина Васильевна</t>
  </si>
  <si>
    <t>Замостинович С.Ю.</t>
  </si>
  <si>
    <t>Полуночкин Матвей Николаевич</t>
  </si>
  <si>
    <t>Синькевич Алексей Сергеевич</t>
  </si>
  <si>
    <t>Коваленко О.В.</t>
  </si>
  <si>
    <t>Доронин Максим Александрович</t>
  </si>
  <si>
    <t>Бурдо Е.К.</t>
  </si>
  <si>
    <t>Иванов А.М.</t>
  </si>
  <si>
    <t>Ладыжина О.А.</t>
  </si>
  <si>
    <t>Удодова Н.П.</t>
  </si>
  <si>
    <t>Акулова Н.Е.</t>
  </si>
  <si>
    <t>Яблокова Мария Витальевна</t>
  </si>
  <si>
    <t>Горенькова Дарья Витальевна</t>
  </si>
  <si>
    <t>Домнин Нил Олегович</t>
  </si>
  <si>
    <t>Григоренко Нина Александровна</t>
  </si>
  <si>
    <t>Шидловский Арсений Александрович</t>
  </si>
  <si>
    <t>Горнак Артем Владимирович</t>
  </si>
  <si>
    <t>Климович Александр Дмитриевич</t>
  </si>
  <si>
    <t>Базылев Даниил Витальевич</t>
  </si>
  <si>
    <t>Сидунова Валерия Геннадьена</t>
  </si>
  <si>
    <t>Вожгурова Василиса Дмитриевна</t>
  </si>
  <si>
    <t>Белявская Александра Александровна</t>
  </si>
  <si>
    <t>Сапежинская Алина Максимовна</t>
  </si>
  <si>
    <t>Кривопуст Виктория Игоревна</t>
  </si>
  <si>
    <t>Мефодиенко Елена Леонидовна</t>
  </si>
  <si>
    <t>Борзова Азалия Александровна</t>
  </si>
  <si>
    <t>Василёнок Вероника Сергеевна</t>
  </si>
  <si>
    <t>Быкова София Алексеевна</t>
  </si>
  <si>
    <t>Каминская Анна Дмитриевна</t>
  </si>
  <si>
    <t>Остапович Ксения Денисовна</t>
  </si>
  <si>
    <t>Ладунец Любава Викторовна</t>
  </si>
  <si>
    <t>Гордецкий Григорий Сергеевич</t>
  </si>
  <si>
    <t>Тумашевич Кирилл Станиславович</t>
  </si>
  <si>
    <t>Ларионова Полина Артемьевна</t>
  </si>
  <si>
    <t>Машеро Дарья Александровна</t>
  </si>
  <si>
    <t>Панарина Валерия Александровна</t>
  </si>
  <si>
    <t>Машкей Анастасия Владимировна</t>
  </si>
  <si>
    <t>Зенькина Галина Михайловна</t>
  </si>
  <si>
    <t>Хурко Галина Ивановна</t>
  </si>
  <si>
    <t>Щербакова Людмила Фёдоровна</t>
  </si>
  <si>
    <t>Кулик Елена Анатольевна</t>
  </si>
  <si>
    <t>Богдановская Валентина Ивановна</t>
  </si>
  <si>
    <t>Бровко Светлана Геннадьевна</t>
  </si>
  <si>
    <t>Березнева Софья Сергеевна</t>
  </si>
  <si>
    <t>Лягчёнок Варвара Денисовна</t>
  </si>
  <si>
    <t>Назарова Мария Александровна</t>
  </si>
  <si>
    <t>Прокопович Мария Александровна</t>
  </si>
  <si>
    <t>Беляева Виктория Антоновна</t>
  </si>
  <si>
    <t>Зайцева Алиса Артёмовна</t>
  </si>
  <si>
    <t>Янукова Виктория Денисовна</t>
  </si>
  <si>
    <t>Медюхо Алина Викторовна</t>
  </si>
  <si>
    <t>Горнак Анна Николаевна</t>
  </si>
  <si>
    <t>Степанец Мария Петровна</t>
  </si>
  <si>
    <t>Иванькова Светлана Александровна</t>
  </si>
  <si>
    <t>Рыбченко Мария Александровна</t>
  </si>
  <si>
    <t>Парепко Елизавета Дмитриевна</t>
  </si>
  <si>
    <t>Козловская Александра Денисовна</t>
  </si>
  <si>
    <t>Лындина Полина Сергеевна</t>
  </si>
  <si>
    <t>Блажков Иван Николаевич</t>
  </si>
  <si>
    <t>Гавриленко Карина Александровна</t>
  </si>
  <si>
    <t>Конопелько Никита Владимирович</t>
  </si>
  <si>
    <t>Грунтова Ульяна Андреевна</t>
  </si>
  <si>
    <t>Березнева Алина Вадимовна</t>
  </si>
  <si>
    <t>Устинович Алевтина Владимировна</t>
  </si>
  <si>
    <t>Кальнина Лариса Владимировна</t>
  </si>
  <si>
    <t>Горбачёва Ольга Максимовна</t>
  </si>
  <si>
    <t>Бровко Александра Ивановна</t>
  </si>
  <si>
    <t>Андреева Ариадна Сергеевна</t>
  </si>
  <si>
    <t>Латышева Юлия Петровна</t>
  </si>
  <si>
    <t>Медведская Елена Владимировна</t>
  </si>
  <si>
    <t>Грунтова Жанна Владимировна</t>
  </si>
  <si>
    <t>Лісоўскі Сцяпан Кірылавіч</t>
  </si>
  <si>
    <t>Гусакоў Алег Вітальевіч</t>
  </si>
  <si>
    <t>Астаповіч Ксенія Дзянісаўна</t>
  </si>
  <si>
    <t>Быкава Сафія Аляксееўна</t>
  </si>
  <si>
    <t>Латышаў Максім Дзмітрыевіч</t>
  </si>
  <si>
    <t>Тумашэвіч Кірыл Станіслававіч</t>
  </si>
  <si>
    <t>Іўліеў Глеб Сяргеевіч</t>
  </si>
  <si>
    <t>Ларыёнава Паліна Арцем’еўна</t>
  </si>
  <si>
    <t>Рабушка Валерыя Дзмітрыеўна</t>
  </si>
  <si>
    <t>Машкей Анастасія Уладзіміраўна</t>
  </si>
  <si>
    <t>Машэра Дар’я Аляксандраўна</t>
  </si>
  <si>
    <t>Драгун Цімафей Мікалаевіч</t>
  </si>
  <si>
    <t>Панарына Валерыя Аляксандраўна</t>
  </si>
  <si>
    <t>Усціновіч Аляўціна Уладзіміраўна</t>
  </si>
  <si>
    <t>Мядзведская Алена Уладзіміраўна</t>
  </si>
  <si>
    <t>Красноўская Вольга Анатольеўна</t>
  </si>
  <si>
    <t>Літвінава Жанна Сцяпанаўна</t>
  </si>
  <si>
    <t>Чарнышкова Вольга Леанідаўна</t>
  </si>
  <si>
    <t>Рацькова Ірына Пятроўна</t>
  </si>
  <si>
    <t>Камінская Ніна Генадзьеўна</t>
  </si>
  <si>
    <t>Лізберг Людміла Віктараўна</t>
  </si>
  <si>
    <t>Пракаповіч Марыя Аляксандраўна</t>
  </si>
  <si>
    <t>Клімовіч Дар’я Андрэеўна</t>
  </si>
  <si>
    <t>Бяляева Вікторыя Антонаўна</t>
  </si>
  <si>
    <t>Янукова Вікторыя Дзянісаўна</t>
  </si>
  <si>
    <t>Шыбека Ксенія Аляксееўна</t>
  </si>
  <si>
    <t>Мядзюха Аліна Віктараўна</t>
  </si>
  <si>
    <t>Сачнёва Наталля Аляксандраўна</t>
  </si>
  <si>
    <t>Спрытула Галіна Мікалаеўна</t>
  </si>
  <si>
    <t xml:space="preserve">Рыбчанка Марыя Аляксандраўна </t>
  </si>
  <si>
    <t>Салдаценкаў Максім Сяргеевіч</t>
  </si>
  <si>
    <t>Глухарова Дар’я Дзянісаўна</t>
  </si>
  <si>
    <t>Шарановіч Ульяна Яўгеньеўна</t>
  </si>
  <si>
    <t>Гаўрыленка Карына Аляксандраўна</t>
  </si>
  <si>
    <t>Берашэвіч Віялета Аляксандраўна</t>
  </si>
  <si>
    <t>Шыбека Арына Аляксандраўна</t>
  </si>
  <si>
    <t>Кавалёва Ясміна Анатольеўна</t>
  </si>
  <si>
    <t>Канапелька Мікіта Уладзіміравіч</t>
  </si>
  <si>
    <t xml:space="preserve">Грунтова Ульяна Андрееўна </t>
  </si>
  <si>
    <t>Дзядун Таццяна Чаславаўна</t>
  </si>
  <si>
    <t>Барадуліна Жанна Мікалаеўна</t>
  </si>
  <si>
    <t>Іванькова Святлана Аляксандраўна</t>
  </si>
  <si>
    <t>Бірукоў Раман Ігаравіч</t>
  </si>
  <si>
    <t>Карповіч Яўген Аляксандравіч</t>
  </si>
  <si>
    <t>Міронаў Арцём Сяргеевіч</t>
  </si>
  <si>
    <t>Машкей Кацярына Уладзіміраўна</t>
  </si>
  <si>
    <t>Марчанка Ірына Дзянісаўна</t>
  </si>
  <si>
    <t>Мицкевич Даниил Артёмович</t>
  </si>
  <si>
    <t>Борисевич Даниил Владимирович</t>
  </si>
  <si>
    <t>Криштопенко Вячеслав Дмитриевич</t>
  </si>
  <si>
    <t>Тереня Александр Александрович</t>
  </si>
  <si>
    <t>Румо Сергей Леонидович</t>
  </si>
  <si>
    <t>Кучко Юрий Николаевич</t>
  </si>
  <si>
    <t>Беляцкий Александр Петрович</t>
  </si>
  <si>
    <t>Харитонов Александр Валерьевич</t>
  </si>
  <si>
    <t>Мостыко Иван Владимирович</t>
  </si>
  <si>
    <t>Шлык Егор Михайлович</t>
  </si>
  <si>
    <t>Мартынов Вячеслав Леонидович</t>
  </si>
  <si>
    <t>Однорогий Александр Васильевич</t>
  </si>
  <si>
    <t>Козлов Тимофей Владимирович</t>
  </si>
  <si>
    <t>Козлов Роман Евгеньевич</t>
  </si>
  <si>
    <t xml:space="preserve">Миронов Артём Сергеевич </t>
  </si>
  <si>
    <t>Гринюк Игорь Павлович</t>
  </si>
  <si>
    <t>Зайко Егор Константинович</t>
  </si>
  <si>
    <t>Шапрунова Е.С.</t>
  </si>
  <si>
    <t>Володькина А.П.</t>
  </si>
  <si>
    <t>Авраменко С.Л.</t>
  </si>
  <si>
    <t>Зинькович И.В.</t>
  </si>
  <si>
    <t>Бобрик Маргарита Александровна</t>
  </si>
  <si>
    <t>Снитко Матвей Иванович</t>
  </si>
  <si>
    <t>Филонова Виктория Александровна</t>
  </si>
  <si>
    <t>Михалинский Матвей Александрович</t>
  </si>
  <si>
    <t xml:space="preserve">Награждение по итогам  районной (весенней) олимпиады (4 -9 кл.) в 2024/2025 учебном году
(в разрезе учебных предметов)
</t>
  </si>
  <si>
    <t xml:space="preserve">Участие школьников 
в  районной (весенней)  олимпиаде (4-9 кл.) в 2024/2025 учебном году (В РАЗРЕЗЕ УЧЕБНЫХ ПРЕДМЕТОВ)
</t>
  </si>
  <si>
    <t xml:space="preserve">Награждение похвальными листами
по итогам  районной(  весенней) олимпиады (4 -9 кл.) в 2024/2025 учебном году
(в разрезе учебных предметов)
</t>
  </si>
  <si>
    <t xml:space="preserve">Сенненский район
2024/2024 уч.г.
Наименование учреждений образования
</t>
  </si>
  <si>
    <t xml:space="preserve">Участие школьников 
в  районной (весенней) олимпиаде (4-9 кл.) в 2024/2025 учебном году (В РАЗРЕЗЕ УЧЕБНЫХ ПРЕДМЕТОВ)
</t>
  </si>
  <si>
    <t xml:space="preserve">Результативность участия учреждений общего среднего образования
в  районной (весенней) олимпиаде  (4-9 кл.) в 2024/2025 учебном году (В РАЗРЕЗЕ УЧЕБНЫХ ПРЕДМЕТОВ)
</t>
  </si>
  <si>
    <t xml:space="preserve">Предварительная Результативность участия учреждений общего среднего образования
 в  районной (весенней) олимпиаде в 2024/2025 уч.г.
(качество дипломов)
</t>
  </si>
  <si>
    <t>Гожка Георгий Андреевич</t>
  </si>
  <si>
    <t>Берашевич Виолетта Александровна</t>
  </si>
  <si>
    <t>Нестеренко Анна Сергеевна</t>
  </si>
  <si>
    <t>Синица Татьяна Александровна</t>
  </si>
  <si>
    <t>Сазонова Софья Андреевна</t>
  </si>
  <si>
    <t>Шарендо Валерия Владимировна</t>
  </si>
  <si>
    <t>Горбачёв Александр Игоревич</t>
  </si>
  <si>
    <t>Масюто Виктория Сергеевна</t>
  </si>
  <si>
    <t>Супрунюк Георгий Владимирович</t>
  </si>
  <si>
    <t>Карпович Евгений Александрович</t>
  </si>
  <si>
    <t>Гречихо Галина Анатольевна</t>
  </si>
  <si>
    <t>Володькина Алеся Павловна</t>
  </si>
  <si>
    <t>Александрович Оксана Александровна</t>
  </si>
  <si>
    <t>Прокопович Алина Павловна</t>
  </si>
  <si>
    <t>Цыпляков Дмитрий Витальевич</t>
  </si>
  <si>
    <t>Латышева Светлана Сергеевна</t>
  </si>
  <si>
    <t>Храповицкая Светлана Анатольевна</t>
  </si>
  <si>
    <t>Ананенко Юрий Сергеевич</t>
  </si>
  <si>
    <t>Василенок Анжелика Руслановна</t>
  </si>
  <si>
    <t>Велиев Вадим Евгеньевич</t>
  </si>
  <si>
    <t>Приставко Екатерина Владимировна</t>
  </si>
  <si>
    <t>Яскевич София Сергеевна</t>
  </si>
  <si>
    <t>Сапего Дмитрий Вячеславович</t>
  </si>
  <si>
    <t>Лысковский Илья Витальевич</t>
  </si>
  <si>
    <t>Медюхо Андрей Викторович</t>
  </si>
  <si>
    <t>Никитенко Матвей Леонидович</t>
  </si>
  <si>
    <t>Березко Станислав Сергеевич</t>
  </si>
  <si>
    <t>Давыденко Вероника Дмитриевна</t>
  </si>
  <si>
    <t>Михасёва Алина Александровна</t>
  </si>
  <si>
    <t>Василёнок Алина Дмитриевна</t>
  </si>
  <si>
    <t>Маханькова Алина Петровна</t>
  </si>
  <si>
    <t>Колдачёв Максим Александрович</t>
  </si>
  <si>
    <t>Дешкевич Анна Олеговна</t>
  </si>
  <si>
    <t>Шураева Варвара Дмитриевна</t>
  </si>
  <si>
    <t>Чебакова Любовь Григорьевна</t>
  </si>
  <si>
    <t>Ильюченко Глеб Русланович</t>
  </si>
  <si>
    <t>Волчик Екатерина Юрьевна</t>
  </si>
  <si>
    <t>Яковлева Василина Валерьевна</t>
  </si>
  <si>
    <t>Якубенко Карина Николаевна</t>
  </si>
  <si>
    <t>Демидчик Диана Ивановна</t>
  </si>
  <si>
    <t>Ткаченко Яна Александровна</t>
  </si>
  <si>
    <t>Базылева Вера Евгеньевна</t>
  </si>
  <si>
    <t>Мостыко Евгения Владимировна</t>
  </si>
  <si>
    <t>Власов Андрей Артурович</t>
  </si>
  <si>
    <t xml:space="preserve">Московский Константин Александрович </t>
  </si>
  <si>
    <t>Синькевич Е.П.</t>
  </si>
  <si>
    <t>Путято С. И.</t>
  </si>
  <si>
    <t>Руммо Е. И.</t>
  </si>
  <si>
    <t>Должикова В. И.</t>
  </si>
  <si>
    <t>Должикова .В. И.</t>
  </si>
  <si>
    <t>Должикова В.И.</t>
  </si>
  <si>
    <t>Савлевич Т.Л.</t>
  </si>
  <si>
    <t>Асмоловская Т.В.</t>
  </si>
  <si>
    <t>Авсиевич Е. В.</t>
  </si>
  <si>
    <t>Авсиевич Е. В</t>
  </si>
  <si>
    <t>Скакун Л. В.</t>
  </si>
  <si>
    <t>Зотова Т.О.</t>
  </si>
  <si>
    <t>Залевская Н.С.</t>
  </si>
  <si>
    <t>Савицкая Ж.А.</t>
  </si>
  <si>
    <t>Богдановская НШ</t>
  </si>
  <si>
    <t>Дзяшкевіч Ганна Алегаўна</t>
  </si>
  <si>
    <t>Гусейнава Наталля Мікалаеўна</t>
  </si>
  <si>
    <t>Шураева Варвара Дзмітрыеўна</t>
  </si>
  <si>
    <t>Давыдзенка Вераніка Дзмітрыеўна</t>
  </si>
  <si>
    <t>Гожка Аляксей Андрэевіч</t>
  </si>
  <si>
    <t>Лубніна Анастасія Дзянісаўна</t>
  </si>
  <si>
    <t>Бярозка Станіслаў Сяргеевіч</t>
  </si>
  <si>
    <t>Скапенка Софія Аляксееўна</t>
  </si>
  <si>
    <t>Марчанка Аляксей Валянцінавіч</t>
  </si>
  <si>
    <t>Базылева Вера Яўгенаўна</t>
  </si>
  <si>
    <t>Чэбакова Любоў Грыгор’еўна</t>
  </si>
  <si>
    <t>Дубавец Ілля Васільевіч</t>
  </si>
  <si>
    <t>Ткачэнка Яна Аляксандраўна</t>
  </si>
  <si>
    <t>Няфёдаў Арсеній Аляксандравіч</t>
  </si>
  <si>
    <t>Скіба Ульяна Уладзіміраўна</t>
  </si>
  <si>
    <t>Бегунова Дар’я Сяргееўна</t>
  </si>
  <si>
    <t>Канапелька Елізавета Уладзіміраўна</t>
  </si>
  <si>
    <t>Мастыка Яўгенія Уладзіміраўна</t>
  </si>
  <si>
    <t>Плюшчыкава Соф’я Сергееўна</t>
  </si>
  <si>
    <t>Лыскоўскі Ілля Вітальевіч</t>
  </si>
  <si>
    <t>Асмалоўская Т.В.</t>
  </si>
  <si>
    <t>Саўлевіч Т.Л.</t>
  </si>
  <si>
    <t>Адамава С.М.</t>
  </si>
  <si>
    <t>Пуцята С.І.</t>
  </si>
  <si>
    <t>Должыкова В.І.</t>
  </si>
  <si>
    <t>Аўсіевіч А.В.</t>
  </si>
  <si>
    <t>Скакун Л.В.</t>
  </si>
  <si>
    <t>Зотава Т.А.</t>
  </si>
  <si>
    <t>Залеўская Н.С.</t>
  </si>
  <si>
    <t>Румо А.І.</t>
  </si>
  <si>
    <t>Боритко Анастасия Сергеевна</t>
  </si>
  <si>
    <t>Гарнак Егор Викторович</t>
  </si>
  <si>
    <t>Демешкевич Александр Юрьевич</t>
  </si>
  <si>
    <t>Желтобрюхов Александр Евгеньевич</t>
  </si>
  <si>
    <t>Прокопович Иван Александрович</t>
  </si>
  <si>
    <t>Рыбченко Владислав Андреевич</t>
  </si>
  <si>
    <t>Камович Елизавета Александровна</t>
  </si>
  <si>
    <t>Козлов Матвей Владимирович</t>
  </si>
  <si>
    <t>Московский Константин Александрович</t>
  </si>
  <si>
    <t>Савлевич Татьяна Леонидовна</t>
  </si>
  <si>
    <t>Асмоловская Татьяна Валентиновна</t>
  </si>
  <si>
    <t>Авсиевич Елена Валерьевна</t>
  </si>
  <si>
    <t>Скакун Людмила Викторовна</t>
  </si>
  <si>
    <t>Синькевич Елена Павловна</t>
  </si>
  <si>
    <t>Путято Светлана Ивановна</t>
  </si>
  <si>
    <t>Должикова Валентина Ивановна</t>
  </si>
  <si>
    <t>Савицкая Жанна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</si>
</sst>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Cambria"/>
      <family val="1"/>
      <charset val="204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mbria"/>
      <family val="1"/>
      <charset val="204"/>
    </font>
    <font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2" borderId="2" applyNumberFormat="0" applyFont="0" applyAlignment="0" applyProtection="0"/>
    <xf numFmtId="9" fontId="6" fillId="0" borderId="0" applyFont="0" applyFill="0" applyBorder="0" applyAlignment="0" applyProtection="0"/>
  </cellStyleXfs>
  <cellXfs count="253">
    <xf numFmtId="0" fontId="0" fillId="0" borderId="0" xfId="0"/>
    <xf numFmtId="0" fontId="4" fillId="0" borderId="0" xfId="0" applyFont="1" applyBorder="1" applyAlignment="1">
      <alignment vertical="top" wrapText="1"/>
    </xf>
    <xf numFmtId="1" fontId="0" fillId="0" borderId="0" xfId="0" applyNumberFormat="1" applyFill="1"/>
    <xf numFmtId="0" fontId="0" fillId="0" borderId="0" xfId="0" applyFill="1"/>
    <xf numFmtId="0" fontId="4" fillId="0" borderId="0" xfId="0" applyFont="1" applyFill="1" applyBorder="1" applyAlignment="1">
      <alignment vertical="top" wrapText="1"/>
    </xf>
    <xf numFmtId="0" fontId="0" fillId="0" borderId="0" xfId="0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left" vertical="center"/>
    </xf>
    <xf numFmtId="2" fontId="5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15" borderId="1" xfId="0" applyNumberFormat="1" applyFont="1" applyFill="1" applyBorder="1" applyAlignment="1">
      <alignment horizontal="center" vertical="center" wrapText="1"/>
    </xf>
    <xf numFmtId="1" fontId="11" fillId="12" borderId="1" xfId="0" applyNumberFormat="1" applyFont="1" applyFill="1" applyBorder="1" applyAlignment="1">
      <alignment horizontal="center" vertical="center" wrapText="1"/>
    </xf>
    <xf numFmtId="1" fontId="11" fillId="16" borderId="1" xfId="0" applyNumberFormat="1" applyFont="1" applyFill="1" applyBorder="1" applyAlignment="1">
      <alignment horizontal="center" vertical="center" wrapText="1"/>
    </xf>
    <xf numFmtId="1" fontId="11" fillId="13" borderId="1" xfId="0" applyNumberFormat="1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1" fontId="11" fillId="14" borderId="1" xfId="0" applyNumberFormat="1" applyFont="1" applyFill="1" applyBorder="1" applyAlignment="1">
      <alignment horizontal="center" vertical="center" wrapText="1"/>
    </xf>
    <xf numFmtId="1" fontId="11" fillId="18" borderId="1" xfId="0" applyNumberFormat="1" applyFont="1" applyFill="1" applyBorder="1" applyAlignment="1">
      <alignment horizontal="center" vertical="center" wrapText="1"/>
    </xf>
    <xf numFmtId="1" fontId="11" fillId="10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1" fontId="11" fillId="11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vertical="center"/>
    </xf>
    <xf numFmtId="0" fontId="4" fillId="0" borderId="9" xfId="1" applyFont="1" applyFill="1" applyBorder="1" applyAlignment="1">
      <alignment horizontal="center" vertical="center"/>
    </xf>
    <xf numFmtId="1" fontId="0" fillId="0" borderId="0" xfId="0" applyNumberFormat="1"/>
    <xf numFmtId="0" fontId="5" fillId="0" borderId="1" xfId="1" applyFont="1" applyFill="1" applyBorder="1" applyAlignment="1">
      <alignment horizontal="left" vertical="center" wrapText="1"/>
    </xf>
    <xf numFmtId="1" fontId="14" fillId="0" borderId="1" xfId="0" applyNumberFormat="1" applyFont="1" applyFill="1" applyBorder="1"/>
    <xf numFmtId="1" fontId="14" fillId="0" borderId="1" xfId="0" applyNumberFormat="1" applyFont="1" applyBorder="1"/>
    <xf numFmtId="0" fontId="16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164" fontId="5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64" fontId="5" fillId="16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21" fillId="0" borderId="1" xfId="2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1" fontId="11" fillId="19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5" fillId="18" borderId="1" xfId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center" vertical="center"/>
    </xf>
    <xf numFmtId="0" fontId="4" fillId="19" borderId="1" xfId="1" applyFont="1" applyFill="1" applyBorder="1" applyAlignment="1">
      <alignment horizontal="center" vertical="center"/>
    </xf>
    <xf numFmtId="0" fontId="5" fillId="19" borderId="1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" fontId="14" fillId="24" borderId="1" xfId="0" applyNumberFormat="1" applyFont="1" applyFill="1" applyBorder="1"/>
    <xf numFmtId="1" fontId="14" fillId="11" borderId="1" xfId="0" applyNumberFormat="1" applyFont="1" applyFill="1" applyBorder="1"/>
    <xf numFmtId="1" fontId="3" fillId="17" borderId="1" xfId="0" applyNumberFormat="1" applyFont="1" applyFill="1" applyBorder="1" applyAlignment="1">
      <alignment horizontal="center" vertical="center"/>
    </xf>
    <xf numFmtId="0" fontId="8" fillId="21" borderId="9" xfId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7" borderId="1" xfId="2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9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5" fillId="25" borderId="1" xfId="0" applyFont="1" applyFill="1" applyBorder="1" applyAlignment="1">
      <alignment vertical="top" wrapText="1"/>
    </xf>
    <xf numFmtId="9" fontId="5" fillId="25" borderId="1" xfId="0" applyNumberFormat="1" applyFont="1" applyFill="1" applyBorder="1" applyAlignment="1">
      <alignment vertical="top" wrapText="1"/>
    </xf>
    <xf numFmtId="0" fontId="1" fillId="25" borderId="1" xfId="0" applyFont="1" applyFill="1" applyBorder="1" applyAlignment="1">
      <alignment vertical="top"/>
    </xf>
    <xf numFmtId="0" fontId="5" fillId="25" borderId="1" xfId="0" applyFont="1" applyFill="1" applyBorder="1" applyAlignment="1">
      <alignment vertical="top"/>
    </xf>
    <xf numFmtId="1" fontId="4" fillId="0" borderId="0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2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8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5" fillId="25" borderId="8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19" fillId="0" borderId="8" xfId="0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13" fillId="0" borderId="8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textRotation="90"/>
    </xf>
    <xf numFmtId="2" fontId="18" fillId="0" borderId="1" xfId="0" applyNumberFormat="1" applyFont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justify" vertical="center" wrapText="1"/>
    </xf>
    <xf numFmtId="0" fontId="5" fillId="27" borderId="1" xfId="0" applyFont="1" applyFill="1" applyBorder="1" applyAlignment="1">
      <alignment horizontal="justify" vertical="center" wrapText="1"/>
    </xf>
    <xf numFmtId="0" fontId="5" fillId="26" borderId="1" xfId="0" applyFont="1" applyFill="1" applyBorder="1" applyAlignment="1">
      <alignment horizontal="left" vertical="center" wrapText="1"/>
    </xf>
    <xf numFmtId="0" fontId="5" fillId="27" borderId="1" xfId="0" applyFont="1" applyFill="1" applyBorder="1" applyAlignment="1">
      <alignment horizontal="left" vertical="center" wrapText="1"/>
    </xf>
    <xf numFmtId="0" fontId="5" fillId="26" borderId="1" xfId="0" applyFont="1" applyFill="1" applyBorder="1" applyAlignment="1">
      <alignment vertical="center" wrapText="1"/>
    </xf>
    <xf numFmtId="0" fontId="5" fillId="28" borderId="1" xfId="0" applyFont="1" applyFill="1" applyBorder="1" applyAlignment="1">
      <alignment vertical="top" wrapText="1"/>
    </xf>
    <xf numFmtId="0" fontId="5" fillId="28" borderId="6" xfId="0" applyFont="1" applyFill="1" applyBorder="1" applyAlignment="1">
      <alignment vertical="top" wrapText="1"/>
    </xf>
    <xf numFmtId="0" fontId="5" fillId="29" borderId="1" xfId="0" applyFont="1" applyFill="1" applyBorder="1" applyAlignment="1">
      <alignment vertical="top" wrapText="1"/>
    </xf>
    <xf numFmtId="0" fontId="5" fillId="29" borderId="6" xfId="0" applyFont="1" applyFill="1" applyBorder="1" applyAlignment="1">
      <alignment vertical="top" wrapText="1"/>
    </xf>
    <xf numFmtId="0" fontId="5" fillId="24" borderId="1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4" fillId="18" borderId="1" xfId="1" applyFont="1" applyFill="1" applyBorder="1" applyAlignment="1">
      <alignment horizontal="center" vertical="center" wrapText="1"/>
    </xf>
    <xf numFmtId="0" fontId="0" fillId="18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4" fillId="14" borderId="1" xfId="1" applyFont="1" applyFill="1" applyBorder="1" applyAlignment="1">
      <alignment horizontal="center" vertical="center" wrapText="1"/>
    </xf>
    <xf numFmtId="0" fontId="0" fillId="14" borderId="1" xfId="1" applyFont="1" applyFill="1" applyBorder="1" applyAlignment="1">
      <alignment wrapText="1"/>
    </xf>
    <xf numFmtId="0" fontId="3" fillId="20" borderId="9" xfId="0" applyFont="1" applyFill="1" applyBorder="1" applyAlignment="1">
      <alignment horizontal="center" vertical="center" textRotation="90" wrapText="1"/>
    </xf>
    <xf numFmtId="0" fontId="3" fillId="20" borderId="10" xfId="0" applyFont="1" applyFill="1" applyBorder="1" applyAlignment="1">
      <alignment horizontal="center" vertical="center" textRotation="90" wrapText="1"/>
    </xf>
    <xf numFmtId="0" fontId="8" fillId="14" borderId="9" xfId="0" applyFont="1" applyFill="1" applyBorder="1" applyAlignment="1">
      <alignment horizontal="center" vertical="center" textRotation="90" wrapText="1"/>
    </xf>
    <xf numFmtId="0" fontId="8" fillId="14" borderId="10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horizontal="center" vertical="center" textRotation="90" wrapText="1"/>
    </xf>
    <xf numFmtId="0" fontId="8" fillId="15" borderId="10" xfId="0" applyFont="1" applyFill="1" applyBorder="1" applyAlignment="1">
      <alignment horizontal="center" vertical="center" textRotation="90" wrapText="1"/>
    </xf>
    <xf numFmtId="0" fontId="8" fillId="12" borderId="9" xfId="0" applyFont="1" applyFill="1" applyBorder="1" applyAlignment="1">
      <alignment horizontal="center" vertical="center" textRotation="90" wrapText="1"/>
    </xf>
    <xf numFmtId="0" fontId="8" fillId="12" borderId="10" xfId="0" applyFont="1" applyFill="1" applyBorder="1" applyAlignment="1">
      <alignment horizontal="center" vertical="center" textRotation="90" wrapText="1"/>
    </xf>
    <xf numFmtId="0" fontId="8" fillId="16" borderId="9" xfId="0" applyFont="1" applyFill="1" applyBorder="1" applyAlignment="1">
      <alignment horizontal="center" vertical="center" textRotation="90" wrapText="1"/>
    </xf>
    <xf numFmtId="0" fontId="8" fillId="16" borderId="10" xfId="0" applyFont="1" applyFill="1" applyBorder="1" applyAlignment="1">
      <alignment horizontal="center" vertical="center" textRotation="90" wrapText="1"/>
    </xf>
    <xf numFmtId="0" fontId="8" fillId="20" borderId="9" xfId="0" applyFont="1" applyFill="1" applyBorder="1" applyAlignment="1">
      <alignment horizontal="center" vertical="center" textRotation="90" wrapText="1"/>
    </xf>
    <xf numFmtId="0" fontId="8" fillId="20" borderId="10" xfId="0" applyFont="1" applyFill="1" applyBorder="1" applyAlignment="1">
      <alignment horizontal="center" vertical="center" textRotation="90" wrapText="1"/>
    </xf>
    <xf numFmtId="0" fontId="8" fillId="6" borderId="9" xfId="0" applyFont="1" applyFill="1" applyBorder="1" applyAlignment="1">
      <alignment horizontal="center" vertical="center" textRotation="90" wrapText="1"/>
    </xf>
    <xf numFmtId="0" fontId="8" fillId="6" borderId="10" xfId="0" applyFont="1" applyFill="1" applyBorder="1" applyAlignment="1">
      <alignment horizontal="center" vertical="center" textRotation="90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8" fillId="5" borderId="10" xfId="0" applyFont="1" applyFill="1" applyBorder="1" applyAlignment="1">
      <alignment horizontal="center" vertical="center" textRotation="90" wrapText="1"/>
    </xf>
    <xf numFmtId="0" fontId="8" fillId="7" borderId="9" xfId="0" applyFont="1" applyFill="1" applyBorder="1" applyAlignment="1">
      <alignment horizontal="center" vertical="center" textRotation="90" wrapText="1"/>
    </xf>
    <xf numFmtId="0" fontId="8" fillId="7" borderId="10" xfId="0" applyFont="1" applyFill="1" applyBorder="1" applyAlignment="1">
      <alignment horizontal="center" vertical="center" textRotation="90" wrapText="1"/>
    </xf>
    <xf numFmtId="0" fontId="8" fillId="18" borderId="9" xfId="0" applyFont="1" applyFill="1" applyBorder="1" applyAlignment="1">
      <alignment horizontal="center" vertical="center" textRotation="90" wrapText="1"/>
    </xf>
    <xf numFmtId="0" fontId="8" fillId="18" borderId="10" xfId="0" applyFont="1" applyFill="1" applyBorder="1" applyAlignment="1">
      <alignment horizontal="center" vertical="center" textRotation="90" wrapText="1"/>
    </xf>
    <xf numFmtId="0" fontId="8" fillId="10" borderId="9" xfId="0" applyFont="1" applyFill="1" applyBorder="1" applyAlignment="1">
      <alignment horizontal="center" vertical="center" textRotation="90" wrapText="1"/>
    </xf>
    <xf numFmtId="0" fontId="8" fillId="10" borderId="10" xfId="0" applyFont="1" applyFill="1" applyBorder="1" applyAlignment="1">
      <alignment horizontal="center" vertical="center" textRotation="90" wrapText="1"/>
    </xf>
    <xf numFmtId="0" fontId="8" fillId="3" borderId="9" xfId="0" applyFont="1" applyFill="1" applyBorder="1" applyAlignment="1">
      <alignment horizontal="center" vertical="center" textRotation="90" wrapText="1"/>
    </xf>
    <xf numFmtId="0" fontId="8" fillId="3" borderId="10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textRotation="90" wrapText="1"/>
    </xf>
    <xf numFmtId="0" fontId="15" fillId="23" borderId="13" xfId="0" applyFont="1" applyFill="1" applyBorder="1" applyAlignment="1">
      <alignment horizontal="center" vertical="center" textRotation="90" wrapText="1"/>
    </xf>
    <xf numFmtId="0" fontId="15" fillId="23" borderId="10" xfId="0" applyFont="1" applyFill="1" applyBorder="1" applyAlignment="1">
      <alignment horizontal="center" vertical="center" textRotation="90" wrapText="1"/>
    </xf>
    <xf numFmtId="0" fontId="15" fillId="11" borderId="13" xfId="0" applyFont="1" applyFill="1" applyBorder="1" applyAlignment="1">
      <alignment horizontal="center" vertical="center" textRotation="90" wrapText="1"/>
    </xf>
    <xf numFmtId="0" fontId="15" fillId="11" borderId="10" xfId="0" applyFont="1" applyFill="1" applyBorder="1" applyAlignment="1">
      <alignment horizontal="center" vertical="center" textRotation="90" wrapText="1"/>
    </xf>
    <xf numFmtId="0" fontId="3" fillId="11" borderId="1" xfId="0" applyFont="1" applyFill="1" applyBorder="1" applyAlignment="1">
      <alignment horizontal="center" vertical="center" textRotation="90"/>
    </xf>
    <xf numFmtId="0" fontId="8" fillId="15" borderId="1" xfId="0" applyFont="1" applyFill="1" applyBorder="1" applyAlignment="1">
      <alignment horizontal="center" vertical="center" textRotation="90" wrapText="1"/>
    </xf>
    <xf numFmtId="0" fontId="8" fillId="12" borderId="1" xfId="0" applyFont="1" applyFill="1" applyBorder="1" applyAlignment="1">
      <alignment horizontal="center" vertical="center" textRotation="90" wrapText="1"/>
    </xf>
    <xf numFmtId="0" fontId="8" fillId="16" borderId="1" xfId="0" applyFont="1" applyFill="1" applyBorder="1" applyAlignment="1">
      <alignment horizontal="center" vertical="center" textRotation="90" wrapText="1"/>
    </xf>
    <xf numFmtId="0" fontId="8" fillId="13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0" fillId="0" borderId="10" xfId="0" applyBorder="1"/>
    <xf numFmtId="0" fontId="4" fillId="0" borderId="1" xfId="0" applyFont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textRotation="90" wrapText="1"/>
    </xf>
    <xf numFmtId="0" fontId="8" fillId="10" borderId="1" xfId="0" applyFont="1" applyFill="1" applyBorder="1" applyAlignment="1">
      <alignment horizontal="center" vertical="center" textRotation="90" wrapText="1"/>
    </xf>
    <xf numFmtId="0" fontId="3" fillId="11" borderId="9" xfId="0" applyFont="1" applyFill="1" applyBorder="1" applyAlignment="1">
      <alignment horizontal="center" vertical="center" textRotation="90"/>
    </xf>
    <xf numFmtId="0" fontId="3" fillId="11" borderId="10" xfId="0" applyFont="1" applyFill="1" applyBorder="1" applyAlignment="1">
      <alignment horizontal="center" vertical="center" textRotation="90"/>
    </xf>
    <xf numFmtId="0" fontId="0" fillId="0" borderId="14" xfId="0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0" fontId="8" fillId="13" borderId="10" xfId="0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8" fillId="2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textRotation="90" wrapText="1"/>
    </xf>
    <xf numFmtId="0" fontId="8" fillId="4" borderId="13" xfId="0" applyFont="1" applyFill="1" applyBorder="1" applyAlignment="1">
      <alignment horizontal="center" vertical="center" textRotation="90" wrapText="1"/>
    </xf>
    <xf numFmtId="0" fontId="8" fillId="4" borderId="10" xfId="0" applyFont="1" applyFill="1" applyBorder="1" applyAlignment="1">
      <alignment horizontal="center" vertical="center" textRotation="90" wrapText="1"/>
    </xf>
    <xf numFmtId="0" fontId="0" fillId="0" borderId="1" xfId="0" applyBorder="1"/>
    <xf numFmtId="0" fontId="15" fillId="19" borderId="9" xfId="0" applyFont="1" applyFill="1" applyBorder="1" applyAlignment="1">
      <alignment horizontal="center" vertical="center" textRotation="90" wrapText="1"/>
    </xf>
    <xf numFmtId="0" fontId="15" fillId="19" borderId="13" xfId="0" applyFont="1" applyFill="1" applyBorder="1" applyAlignment="1">
      <alignment horizontal="center" vertical="center" textRotation="90" wrapText="1"/>
    </xf>
    <xf numFmtId="0" fontId="15" fillId="19" borderId="10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Примечание" xfId="1" builtinId="10"/>
    <cellStyle name="Процентный" xfId="2" builtinId="5"/>
  </cellStyles>
  <dxfs count="0"/>
  <tableStyles count="0" defaultTableStyle="TableStyleMedium9" defaultPivotStyle="PivotStyleLight16"/>
  <colors>
    <mruColors>
      <color rgb="FFFF66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23"/>
  <sheetViews>
    <sheetView tabSelected="1" zoomScale="90" zoomScaleNormal="90" workbookViewId="0">
      <pane ySplit="1" topLeftCell="A208" activePane="bottomLeft" state="frozen"/>
      <selection pane="bottomLeft" activeCell="A223" sqref="A222:A223"/>
    </sheetView>
  </sheetViews>
  <sheetFormatPr defaultRowHeight="15.75" x14ac:dyDescent="0.25"/>
  <cols>
    <col min="1" max="1" width="13.28515625" style="46" customWidth="1"/>
    <col min="2" max="2" width="23.7109375" style="46" customWidth="1"/>
    <col min="3" max="3" width="23.42578125" style="46" customWidth="1"/>
    <col min="4" max="4" width="19" style="46" customWidth="1"/>
    <col min="5" max="5" width="19.7109375" style="46" customWidth="1"/>
    <col min="6" max="6" width="12.140625" style="45" customWidth="1"/>
    <col min="7" max="7" width="8" style="45" customWidth="1"/>
    <col min="8" max="8" width="8.85546875" style="45" customWidth="1"/>
    <col min="9" max="9" width="10" style="45" customWidth="1"/>
    <col min="10" max="10" width="11.7109375" style="86" customWidth="1"/>
    <col min="11" max="16384" width="9.140625" style="46"/>
  </cols>
  <sheetData>
    <row r="1" spans="1:14" ht="63" x14ac:dyDescent="0.25">
      <c r="A1" s="131" t="s">
        <v>9</v>
      </c>
      <c r="B1" s="130" t="s">
        <v>0</v>
      </c>
      <c r="C1" s="130" t="s">
        <v>2</v>
      </c>
      <c r="D1" s="130" t="s">
        <v>1</v>
      </c>
      <c r="E1" s="131" t="s">
        <v>4</v>
      </c>
      <c r="F1" s="132" t="s">
        <v>8</v>
      </c>
      <c r="G1" s="133" t="s">
        <v>7</v>
      </c>
      <c r="H1" s="133" t="s">
        <v>5</v>
      </c>
      <c r="I1" s="130" t="s">
        <v>6</v>
      </c>
      <c r="J1" s="132" t="s">
        <v>3</v>
      </c>
    </row>
    <row r="2" spans="1:14" s="87" customFormat="1" ht="33" hidden="1" customHeight="1" x14ac:dyDescent="0.25">
      <c r="A2" s="139">
        <v>1</v>
      </c>
      <c r="B2" s="136" t="s">
        <v>171</v>
      </c>
      <c r="C2" s="99" t="s">
        <v>172</v>
      </c>
      <c r="D2" s="99" t="s">
        <v>13</v>
      </c>
      <c r="E2" s="99" t="s">
        <v>94</v>
      </c>
      <c r="F2" s="100">
        <v>5</v>
      </c>
      <c r="G2" s="101">
        <v>25</v>
      </c>
      <c r="H2" s="100">
        <v>14</v>
      </c>
      <c r="I2" s="102">
        <f>H2/G2</f>
        <v>0.56000000000000005</v>
      </c>
      <c r="J2" s="100" t="s">
        <v>18</v>
      </c>
      <c r="K2" s="46"/>
      <c r="L2" s="46"/>
    </row>
    <row r="3" spans="1:14" s="87" customFormat="1" ht="33" hidden="1" customHeight="1" x14ac:dyDescent="0.25">
      <c r="A3" s="141">
        <v>2</v>
      </c>
      <c r="B3" s="136" t="s">
        <v>173</v>
      </c>
      <c r="C3" s="99" t="s">
        <v>172</v>
      </c>
      <c r="D3" s="99" t="s">
        <v>13</v>
      </c>
      <c r="E3" s="99" t="s">
        <v>94</v>
      </c>
      <c r="F3" s="100">
        <v>5</v>
      </c>
      <c r="G3" s="101">
        <v>25</v>
      </c>
      <c r="H3" s="103">
        <v>11</v>
      </c>
      <c r="I3" s="102">
        <f t="shared" ref="I3:I53" si="0">H3/G3</f>
        <v>0.44</v>
      </c>
      <c r="J3" s="100" t="s">
        <v>71</v>
      </c>
      <c r="K3" s="88"/>
      <c r="L3" s="88"/>
    </row>
    <row r="4" spans="1:14" s="87" customFormat="1" ht="33" hidden="1" customHeight="1" x14ac:dyDescent="0.25">
      <c r="A4" s="141">
        <v>3</v>
      </c>
      <c r="B4" s="136" t="s">
        <v>174</v>
      </c>
      <c r="C4" s="99" t="s">
        <v>172</v>
      </c>
      <c r="D4" s="99" t="s">
        <v>13</v>
      </c>
      <c r="E4" s="99" t="s">
        <v>94</v>
      </c>
      <c r="F4" s="100">
        <v>5</v>
      </c>
      <c r="G4" s="101">
        <v>25</v>
      </c>
      <c r="H4" s="103">
        <v>11</v>
      </c>
      <c r="I4" s="102">
        <f t="shared" si="0"/>
        <v>0.44</v>
      </c>
      <c r="J4" s="100" t="s">
        <v>71</v>
      </c>
    </row>
    <row r="5" spans="1:14" s="87" customFormat="1" ht="36" hidden="1" customHeight="1" x14ac:dyDescent="0.25">
      <c r="A5" s="141">
        <v>4</v>
      </c>
      <c r="B5" s="136" t="s">
        <v>176</v>
      </c>
      <c r="C5" s="99" t="s">
        <v>175</v>
      </c>
      <c r="D5" s="99" t="s">
        <v>24</v>
      </c>
      <c r="E5" s="99" t="s">
        <v>94</v>
      </c>
      <c r="F5" s="100">
        <v>5</v>
      </c>
      <c r="G5" s="101">
        <v>25</v>
      </c>
      <c r="H5" s="103">
        <v>12</v>
      </c>
      <c r="I5" s="102">
        <f t="shared" si="0"/>
        <v>0.48</v>
      </c>
      <c r="J5" s="100" t="s">
        <v>71</v>
      </c>
      <c r="K5" s="88"/>
      <c r="L5" s="88"/>
    </row>
    <row r="6" spans="1:14" s="87" customFormat="1" ht="33" hidden="1" customHeight="1" x14ac:dyDescent="0.25">
      <c r="A6" s="139">
        <v>5</v>
      </c>
      <c r="B6" s="136" t="s">
        <v>177</v>
      </c>
      <c r="C6" s="99" t="s">
        <v>175</v>
      </c>
      <c r="D6" s="99" t="s">
        <v>24</v>
      </c>
      <c r="E6" s="99" t="s">
        <v>94</v>
      </c>
      <c r="F6" s="100">
        <v>5</v>
      </c>
      <c r="G6" s="101">
        <v>25</v>
      </c>
      <c r="H6" s="103">
        <v>18</v>
      </c>
      <c r="I6" s="102">
        <f t="shared" si="0"/>
        <v>0.72</v>
      </c>
      <c r="J6" s="100" t="s">
        <v>19</v>
      </c>
      <c r="M6" s="88"/>
      <c r="N6" s="88"/>
    </row>
    <row r="7" spans="1:14" s="87" customFormat="1" ht="33" hidden="1" customHeight="1" x14ac:dyDescent="0.25">
      <c r="A7" s="14">
        <v>6</v>
      </c>
      <c r="B7" s="99" t="s">
        <v>179</v>
      </c>
      <c r="C7" s="99" t="s">
        <v>178</v>
      </c>
      <c r="D7" s="99" t="s">
        <v>109</v>
      </c>
      <c r="E7" s="99" t="s">
        <v>94</v>
      </c>
      <c r="F7" s="100">
        <v>5</v>
      </c>
      <c r="G7" s="101">
        <v>25</v>
      </c>
      <c r="H7" s="103">
        <v>9</v>
      </c>
      <c r="I7" s="102">
        <f t="shared" si="0"/>
        <v>0.36</v>
      </c>
      <c r="J7" s="100"/>
      <c r="K7" s="46"/>
      <c r="L7" s="46"/>
    </row>
    <row r="8" spans="1:14" s="87" customFormat="1" ht="33" hidden="1" customHeight="1" x14ac:dyDescent="0.25">
      <c r="A8" s="139">
        <v>7</v>
      </c>
      <c r="B8" s="136" t="s">
        <v>180</v>
      </c>
      <c r="C8" s="99" t="s">
        <v>178</v>
      </c>
      <c r="D8" s="99" t="s">
        <v>109</v>
      </c>
      <c r="E8" s="99" t="s">
        <v>94</v>
      </c>
      <c r="F8" s="100">
        <v>5</v>
      </c>
      <c r="G8" s="101">
        <v>25</v>
      </c>
      <c r="H8" s="103">
        <v>13</v>
      </c>
      <c r="I8" s="102">
        <f t="shared" si="0"/>
        <v>0.52</v>
      </c>
      <c r="J8" s="100" t="s">
        <v>18</v>
      </c>
      <c r="K8" s="46"/>
      <c r="L8" s="46"/>
      <c r="M8" s="88"/>
      <c r="N8" s="88"/>
    </row>
    <row r="9" spans="1:14" s="87" customFormat="1" ht="33" hidden="1" customHeight="1" x14ac:dyDescent="0.25">
      <c r="A9" s="14">
        <v>8</v>
      </c>
      <c r="B9" s="99" t="s">
        <v>181</v>
      </c>
      <c r="C9" s="99" t="s">
        <v>182</v>
      </c>
      <c r="D9" s="99" t="s">
        <v>15</v>
      </c>
      <c r="E9" s="99" t="s">
        <v>94</v>
      </c>
      <c r="F9" s="100">
        <v>5</v>
      </c>
      <c r="G9" s="101">
        <v>25</v>
      </c>
      <c r="H9" s="103">
        <v>4</v>
      </c>
      <c r="I9" s="102">
        <f t="shared" si="0"/>
        <v>0.16</v>
      </c>
      <c r="J9" s="100"/>
      <c r="K9" s="46"/>
      <c r="L9" s="46"/>
    </row>
    <row r="10" spans="1:14" s="87" customFormat="1" ht="33" hidden="1" customHeight="1" x14ac:dyDescent="0.25">
      <c r="A10" s="14">
        <v>9</v>
      </c>
      <c r="B10" s="99" t="s">
        <v>183</v>
      </c>
      <c r="C10" s="99" t="s">
        <v>184</v>
      </c>
      <c r="D10" s="99" t="s">
        <v>14</v>
      </c>
      <c r="E10" s="99" t="s">
        <v>94</v>
      </c>
      <c r="F10" s="100">
        <v>5</v>
      </c>
      <c r="G10" s="100">
        <v>25</v>
      </c>
      <c r="H10" s="103">
        <v>7</v>
      </c>
      <c r="I10" s="102">
        <f t="shared" si="0"/>
        <v>0.28000000000000003</v>
      </c>
      <c r="J10" s="100"/>
      <c r="K10" s="46"/>
      <c r="L10" s="46"/>
      <c r="M10" s="88"/>
      <c r="N10" s="88"/>
    </row>
    <row r="11" spans="1:14" s="87" customFormat="1" ht="33" hidden="1" customHeight="1" x14ac:dyDescent="0.25">
      <c r="A11" s="14">
        <v>10</v>
      </c>
      <c r="B11" s="99" t="s">
        <v>185</v>
      </c>
      <c r="C11" s="99" t="s">
        <v>187</v>
      </c>
      <c r="D11" s="99" t="s">
        <v>72</v>
      </c>
      <c r="E11" s="99" t="s">
        <v>94</v>
      </c>
      <c r="F11" s="100">
        <v>5</v>
      </c>
      <c r="G11" s="101">
        <v>25</v>
      </c>
      <c r="H11" s="103">
        <v>8</v>
      </c>
      <c r="I11" s="102">
        <f t="shared" si="0"/>
        <v>0.32</v>
      </c>
      <c r="J11" s="100"/>
      <c r="K11" s="46"/>
      <c r="L11" s="46"/>
    </row>
    <row r="12" spans="1:14" s="87" customFormat="1" ht="33" hidden="1" customHeight="1" x14ac:dyDescent="0.25">
      <c r="A12" s="14">
        <v>11</v>
      </c>
      <c r="B12" s="99" t="s">
        <v>186</v>
      </c>
      <c r="C12" s="99" t="s">
        <v>187</v>
      </c>
      <c r="D12" s="99" t="s">
        <v>72</v>
      </c>
      <c r="E12" s="99" t="s">
        <v>94</v>
      </c>
      <c r="F12" s="100">
        <v>6</v>
      </c>
      <c r="G12" s="101">
        <v>25</v>
      </c>
      <c r="H12" s="100">
        <v>9</v>
      </c>
      <c r="I12" s="102">
        <f t="shared" si="0"/>
        <v>0.36</v>
      </c>
      <c r="J12" s="100"/>
      <c r="K12" s="46"/>
      <c r="L12" s="46"/>
      <c r="M12" s="88"/>
      <c r="N12" s="88"/>
    </row>
    <row r="13" spans="1:14" s="87" customFormat="1" ht="33" hidden="1" customHeight="1" x14ac:dyDescent="0.25">
      <c r="A13" s="141">
        <v>12</v>
      </c>
      <c r="B13" s="136" t="s">
        <v>112</v>
      </c>
      <c r="C13" s="99" t="s">
        <v>189</v>
      </c>
      <c r="D13" s="99" t="s">
        <v>13</v>
      </c>
      <c r="E13" s="99" t="s">
        <v>94</v>
      </c>
      <c r="F13" s="100">
        <v>6</v>
      </c>
      <c r="G13" s="101">
        <v>25</v>
      </c>
      <c r="H13" s="103">
        <v>11</v>
      </c>
      <c r="I13" s="102">
        <f t="shared" si="0"/>
        <v>0.44</v>
      </c>
      <c r="J13" s="100" t="s">
        <v>71</v>
      </c>
      <c r="K13" s="46"/>
      <c r="L13" s="46"/>
    </row>
    <row r="14" spans="1:14" ht="31.5" hidden="1" x14ac:dyDescent="0.25">
      <c r="A14" s="14">
        <v>13</v>
      </c>
      <c r="B14" s="99" t="s">
        <v>188</v>
      </c>
      <c r="C14" s="99" t="s">
        <v>190</v>
      </c>
      <c r="D14" s="99" t="s">
        <v>24</v>
      </c>
      <c r="E14" s="99" t="s">
        <v>94</v>
      </c>
      <c r="F14" s="8">
        <v>6</v>
      </c>
      <c r="G14" s="101">
        <v>25</v>
      </c>
      <c r="H14" s="103">
        <v>1</v>
      </c>
      <c r="I14" s="102">
        <f t="shared" si="0"/>
        <v>0.04</v>
      </c>
      <c r="J14" s="104"/>
    </row>
    <row r="15" spans="1:14" s="87" customFormat="1" ht="33" hidden="1" customHeight="1" x14ac:dyDescent="0.25">
      <c r="A15" s="14">
        <v>14</v>
      </c>
      <c r="B15" s="99" t="s">
        <v>115</v>
      </c>
      <c r="C15" s="99" t="s">
        <v>191</v>
      </c>
      <c r="D15" s="99" t="s">
        <v>24</v>
      </c>
      <c r="E15" s="99" t="s">
        <v>94</v>
      </c>
      <c r="F15" s="8">
        <v>6</v>
      </c>
      <c r="G15" s="101">
        <v>25</v>
      </c>
      <c r="H15" s="103">
        <v>7</v>
      </c>
      <c r="I15" s="102">
        <f t="shared" si="0"/>
        <v>0.28000000000000003</v>
      </c>
      <c r="J15" s="100"/>
      <c r="K15" s="46"/>
      <c r="L15" s="46"/>
      <c r="M15" s="89"/>
      <c r="N15" s="89"/>
    </row>
    <row r="16" spans="1:14" s="87" customFormat="1" ht="33" hidden="1" customHeight="1" x14ac:dyDescent="0.25">
      <c r="A16" s="141">
        <v>15</v>
      </c>
      <c r="B16" s="136" t="s">
        <v>160</v>
      </c>
      <c r="C16" s="99" t="s">
        <v>191</v>
      </c>
      <c r="D16" s="99" t="s">
        <v>24</v>
      </c>
      <c r="E16" s="99" t="s">
        <v>94</v>
      </c>
      <c r="F16" s="8">
        <v>6</v>
      </c>
      <c r="G16" s="101">
        <v>25</v>
      </c>
      <c r="H16" s="103">
        <v>10</v>
      </c>
      <c r="I16" s="102">
        <f t="shared" si="0"/>
        <v>0.4</v>
      </c>
      <c r="J16" s="100" t="s">
        <v>71</v>
      </c>
      <c r="K16" s="46"/>
      <c r="L16" s="46"/>
    </row>
    <row r="17" spans="1:14" ht="31.5" hidden="1" x14ac:dyDescent="0.25">
      <c r="A17" s="14">
        <v>16</v>
      </c>
      <c r="B17" s="99" t="s">
        <v>113</v>
      </c>
      <c r="C17" s="99" t="s">
        <v>184</v>
      </c>
      <c r="D17" s="99" t="s">
        <v>14</v>
      </c>
      <c r="E17" s="99" t="s">
        <v>94</v>
      </c>
      <c r="F17" s="8">
        <v>6</v>
      </c>
      <c r="G17" s="101">
        <v>25</v>
      </c>
      <c r="H17" s="103">
        <v>7</v>
      </c>
      <c r="I17" s="102">
        <f t="shared" si="0"/>
        <v>0.28000000000000003</v>
      </c>
      <c r="J17" s="100"/>
    </row>
    <row r="18" spans="1:14" s="87" customFormat="1" ht="33" hidden="1" customHeight="1" x14ac:dyDescent="0.25">
      <c r="A18" s="141">
        <v>17</v>
      </c>
      <c r="B18" s="136" t="s">
        <v>114</v>
      </c>
      <c r="C18" s="99" t="s">
        <v>184</v>
      </c>
      <c r="D18" s="99" t="s">
        <v>14</v>
      </c>
      <c r="E18" s="99" t="s">
        <v>94</v>
      </c>
      <c r="F18" s="8">
        <v>6</v>
      </c>
      <c r="G18" s="101">
        <v>25</v>
      </c>
      <c r="H18" s="103">
        <v>10</v>
      </c>
      <c r="I18" s="102">
        <f t="shared" si="0"/>
        <v>0.4</v>
      </c>
      <c r="J18" s="100" t="s">
        <v>71</v>
      </c>
      <c r="K18" s="46"/>
      <c r="L18" s="46"/>
      <c r="M18" s="89"/>
      <c r="N18" s="89"/>
    </row>
    <row r="19" spans="1:14" s="87" customFormat="1" ht="33" hidden="1" customHeight="1" x14ac:dyDescent="0.25">
      <c r="A19" s="139">
        <v>18</v>
      </c>
      <c r="B19" s="136" t="s">
        <v>117</v>
      </c>
      <c r="C19" s="99" t="s">
        <v>192</v>
      </c>
      <c r="D19" s="99" t="s">
        <v>13</v>
      </c>
      <c r="E19" s="99" t="s">
        <v>94</v>
      </c>
      <c r="F19" s="8">
        <v>7</v>
      </c>
      <c r="G19" s="101">
        <v>25</v>
      </c>
      <c r="H19" s="103">
        <v>13</v>
      </c>
      <c r="I19" s="102">
        <f t="shared" si="0"/>
        <v>0.52</v>
      </c>
      <c r="J19" s="100" t="s">
        <v>18</v>
      </c>
      <c r="K19" s="46"/>
      <c r="L19" s="46"/>
      <c r="M19" s="88"/>
      <c r="N19" s="88"/>
    </row>
    <row r="20" spans="1:14" s="88" customFormat="1" ht="33" hidden="1" customHeight="1" x14ac:dyDescent="0.25">
      <c r="A20" s="14">
        <v>19</v>
      </c>
      <c r="B20" s="99" t="s">
        <v>118</v>
      </c>
      <c r="C20" s="99" t="s">
        <v>193</v>
      </c>
      <c r="D20" s="99" t="s">
        <v>24</v>
      </c>
      <c r="E20" s="99" t="s">
        <v>94</v>
      </c>
      <c r="F20" s="105">
        <v>7</v>
      </c>
      <c r="G20" s="105">
        <v>25</v>
      </c>
      <c r="H20" s="103">
        <v>4</v>
      </c>
      <c r="I20" s="102">
        <f t="shared" si="0"/>
        <v>0.16</v>
      </c>
      <c r="J20" s="100"/>
      <c r="K20" s="46"/>
      <c r="L20" s="46"/>
      <c r="M20" s="87"/>
      <c r="N20" s="87"/>
    </row>
    <row r="21" spans="1:14" s="90" customFormat="1" ht="31.5" hidden="1" x14ac:dyDescent="0.25">
      <c r="A21" s="14">
        <v>20</v>
      </c>
      <c r="B21" s="99" t="s">
        <v>119</v>
      </c>
      <c r="C21" s="99" t="s">
        <v>193</v>
      </c>
      <c r="D21" s="99" t="s">
        <v>24</v>
      </c>
      <c r="E21" s="99" t="s">
        <v>94</v>
      </c>
      <c r="F21" s="105">
        <v>7</v>
      </c>
      <c r="G21" s="105">
        <v>25</v>
      </c>
      <c r="H21" s="103">
        <v>5</v>
      </c>
      <c r="I21" s="102">
        <f t="shared" si="0"/>
        <v>0.2</v>
      </c>
      <c r="J21" s="100"/>
      <c r="K21" s="46"/>
      <c r="L21" s="46"/>
      <c r="M21" s="46"/>
      <c r="N21" s="46"/>
    </row>
    <row r="22" spans="1:14" s="88" customFormat="1" ht="33" hidden="1" customHeight="1" x14ac:dyDescent="0.25">
      <c r="A22" s="139">
        <v>24</v>
      </c>
      <c r="B22" s="136" t="s">
        <v>117</v>
      </c>
      <c r="C22" s="99" t="s">
        <v>167</v>
      </c>
      <c r="D22" s="99" t="s">
        <v>13</v>
      </c>
      <c r="E22" s="99" t="s">
        <v>88</v>
      </c>
      <c r="F22" s="105">
        <v>7</v>
      </c>
      <c r="G22" s="105">
        <v>25</v>
      </c>
      <c r="H22" s="105">
        <v>15</v>
      </c>
      <c r="I22" s="102">
        <f t="shared" si="0"/>
        <v>0.6</v>
      </c>
      <c r="J22" s="100" t="s">
        <v>17</v>
      </c>
      <c r="K22" s="46"/>
      <c r="L22" s="46"/>
    </row>
    <row r="23" spans="1:14" s="90" customFormat="1" ht="47.25" hidden="1" x14ac:dyDescent="0.25">
      <c r="A23" s="139">
        <v>25</v>
      </c>
      <c r="B23" s="136" t="s">
        <v>168</v>
      </c>
      <c r="C23" s="99" t="s">
        <v>169</v>
      </c>
      <c r="D23" s="99" t="s">
        <v>24</v>
      </c>
      <c r="E23" s="99" t="s">
        <v>88</v>
      </c>
      <c r="F23" s="105">
        <v>7</v>
      </c>
      <c r="G23" s="105">
        <v>25</v>
      </c>
      <c r="H23" s="103">
        <v>14</v>
      </c>
      <c r="I23" s="102">
        <f t="shared" si="0"/>
        <v>0.56000000000000005</v>
      </c>
      <c r="J23" s="100" t="s">
        <v>18</v>
      </c>
      <c r="K23" s="46"/>
      <c r="L23" s="46"/>
      <c r="M23" s="46"/>
      <c r="N23" s="46"/>
    </row>
    <row r="24" spans="1:14" s="88" customFormat="1" ht="33" hidden="1" customHeight="1" x14ac:dyDescent="0.25">
      <c r="A24" s="14">
        <v>26</v>
      </c>
      <c r="B24" s="99" t="s">
        <v>123</v>
      </c>
      <c r="C24" s="99" t="s">
        <v>169</v>
      </c>
      <c r="D24" s="99" t="s">
        <v>24</v>
      </c>
      <c r="E24" s="99" t="s">
        <v>88</v>
      </c>
      <c r="F24" s="105">
        <v>8</v>
      </c>
      <c r="G24" s="105">
        <v>50</v>
      </c>
      <c r="H24" s="103">
        <v>17</v>
      </c>
      <c r="I24" s="102">
        <f t="shared" ref="I24" si="1">H24/G24</f>
        <v>0.34</v>
      </c>
      <c r="J24" s="100"/>
      <c r="K24" s="46"/>
      <c r="L24" s="46"/>
    </row>
    <row r="25" spans="1:14" s="88" customFormat="1" ht="33" hidden="1" customHeight="1" x14ac:dyDescent="0.25">
      <c r="A25" s="14">
        <v>26</v>
      </c>
      <c r="B25" s="99" t="s">
        <v>170</v>
      </c>
      <c r="C25" s="99" t="s">
        <v>169</v>
      </c>
      <c r="D25" s="99" t="s">
        <v>24</v>
      </c>
      <c r="E25" s="99" t="s">
        <v>88</v>
      </c>
      <c r="F25" s="105">
        <v>8</v>
      </c>
      <c r="G25" s="105">
        <v>50</v>
      </c>
      <c r="H25" s="103">
        <v>7</v>
      </c>
      <c r="I25" s="102">
        <f t="shared" si="0"/>
        <v>0.14000000000000001</v>
      </c>
      <c r="J25" s="100"/>
      <c r="K25" s="46"/>
      <c r="L25" s="46"/>
    </row>
    <row r="26" spans="1:14" s="88" customFormat="1" ht="33" hidden="1" customHeight="1" x14ac:dyDescent="0.25">
      <c r="A26" s="139">
        <v>27</v>
      </c>
      <c r="B26" s="136" t="s">
        <v>160</v>
      </c>
      <c r="C26" s="99" t="s">
        <v>97</v>
      </c>
      <c r="D26" s="99" t="s">
        <v>24</v>
      </c>
      <c r="E26" s="99" t="s">
        <v>96</v>
      </c>
      <c r="F26" s="105">
        <v>6</v>
      </c>
      <c r="G26" s="105">
        <v>59</v>
      </c>
      <c r="H26" s="100">
        <v>52</v>
      </c>
      <c r="I26" s="102">
        <f t="shared" si="0"/>
        <v>0.88135593220338981</v>
      </c>
      <c r="J26" s="100" t="s">
        <v>19</v>
      </c>
      <c r="K26" s="46"/>
      <c r="L26" s="46"/>
      <c r="M26" s="87"/>
      <c r="N26" s="87"/>
    </row>
    <row r="27" spans="1:14" s="90" customFormat="1" ht="31.5" hidden="1" x14ac:dyDescent="0.25">
      <c r="A27" s="139">
        <v>28</v>
      </c>
      <c r="B27" s="136" t="s">
        <v>130</v>
      </c>
      <c r="C27" s="99" t="s">
        <v>125</v>
      </c>
      <c r="D27" s="99" t="s">
        <v>109</v>
      </c>
      <c r="E27" s="99" t="s">
        <v>96</v>
      </c>
      <c r="F27" s="105">
        <v>6</v>
      </c>
      <c r="G27" s="105">
        <v>59</v>
      </c>
      <c r="H27" s="100">
        <v>30</v>
      </c>
      <c r="I27" s="102">
        <f t="shared" si="0"/>
        <v>0.50847457627118642</v>
      </c>
      <c r="J27" s="100" t="s">
        <v>18</v>
      </c>
      <c r="K27" s="92"/>
      <c r="L27" s="92"/>
    </row>
    <row r="28" spans="1:14" s="88" customFormat="1" ht="33" hidden="1" customHeight="1" x14ac:dyDescent="0.25">
      <c r="A28" s="14">
        <v>29</v>
      </c>
      <c r="B28" s="99" t="s">
        <v>161</v>
      </c>
      <c r="C28" s="99" t="s">
        <v>81</v>
      </c>
      <c r="D28" s="99" t="s">
        <v>79</v>
      </c>
      <c r="E28" s="99" t="s">
        <v>96</v>
      </c>
      <c r="F28" s="105">
        <v>6</v>
      </c>
      <c r="G28" s="105">
        <v>59</v>
      </c>
      <c r="H28" s="100">
        <v>11</v>
      </c>
      <c r="I28" s="102">
        <f t="shared" si="0"/>
        <v>0.1864406779661017</v>
      </c>
      <c r="J28" s="100"/>
      <c r="M28" s="89"/>
      <c r="N28" s="89"/>
    </row>
    <row r="29" spans="1:14" s="91" customFormat="1" ht="33" hidden="1" customHeight="1" x14ac:dyDescent="0.25">
      <c r="A29" s="139">
        <v>30</v>
      </c>
      <c r="B29" s="136" t="s">
        <v>162</v>
      </c>
      <c r="C29" s="99" t="s">
        <v>163</v>
      </c>
      <c r="D29" s="99" t="s">
        <v>13</v>
      </c>
      <c r="E29" s="99" t="s">
        <v>96</v>
      </c>
      <c r="F29" s="105">
        <v>7</v>
      </c>
      <c r="G29" s="105">
        <v>59</v>
      </c>
      <c r="H29" s="100">
        <v>36</v>
      </c>
      <c r="I29" s="102">
        <f t="shared" si="0"/>
        <v>0.61016949152542377</v>
      </c>
      <c r="J29" s="100" t="s">
        <v>17</v>
      </c>
      <c r="K29" s="88"/>
      <c r="L29" s="88"/>
      <c r="M29" s="88"/>
      <c r="N29" s="88"/>
    </row>
    <row r="30" spans="1:14" s="88" customFormat="1" ht="33" hidden="1" customHeight="1" x14ac:dyDescent="0.25">
      <c r="A30" s="139">
        <v>31</v>
      </c>
      <c r="B30" s="136" t="s">
        <v>124</v>
      </c>
      <c r="C30" s="99" t="s">
        <v>97</v>
      </c>
      <c r="D30" s="99" t="s">
        <v>24</v>
      </c>
      <c r="E30" s="99" t="s">
        <v>96</v>
      </c>
      <c r="F30" s="105">
        <v>7</v>
      </c>
      <c r="G30" s="105">
        <v>59</v>
      </c>
      <c r="H30" s="100">
        <v>35</v>
      </c>
      <c r="I30" s="102">
        <f t="shared" si="0"/>
        <v>0.59322033898305082</v>
      </c>
      <c r="J30" s="100" t="s">
        <v>18</v>
      </c>
      <c r="K30" s="46"/>
      <c r="L30" s="46"/>
    </row>
    <row r="31" spans="1:14" s="91" customFormat="1" ht="33" hidden="1" customHeight="1" x14ac:dyDescent="0.25">
      <c r="A31" s="14">
        <v>32</v>
      </c>
      <c r="B31" s="99" t="s">
        <v>126</v>
      </c>
      <c r="C31" s="99" t="s">
        <v>127</v>
      </c>
      <c r="D31" s="99" t="s">
        <v>109</v>
      </c>
      <c r="E31" s="99" t="s">
        <v>96</v>
      </c>
      <c r="F31" s="105">
        <v>7</v>
      </c>
      <c r="G31" s="105">
        <v>59</v>
      </c>
      <c r="H31" s="100">
        <v>21</v>
      </c>
      <c r="I31" s="102">
        <f t="shared" si="0"/>
        <v>0.3559322033898305</v>
      </c>
      <c r="J31" s="100"/>
      <c r="K31" s="87"/>
      <c r="L31" s="87"/>
      <c r="M31" s="88"/>
      <c r="N31" s="88"/>
    </row>
    <row r="32" spans="1:14" s="88" customFormat="1" ht="33" hidden="1" customHeight="1" x14ac:dyDescent="0.25">
      <c r="A32" s="139">
        <v>33</v>
      </c>
      <c r="B32" s="136" t="s">
        <v>128</v>
      </c>
      <c r="C32" s="99" t="s">
        <v>125</v>
      </c>
      <c r="D32" s="99" t="s">
        <v>109</v>
      </c>
      <c r="E32" s="99" t="s">
        <v>96</v>
      </c>
      <c r="F32" s="105">
        <v>7</v>
      </c>
      <c r="G32" s="105">
        <v>59</v>
      </c>
      <c r="H32" s="100">
        <v>34</v>
      </c>
      <c r="I32" s="102">
        <f t="shared" si="0"/>
        <v>0.57627118644067798</v>
      </c>
      <c r="J32" s="100" t="s">
        <v>18</v>
      </c>
      <c r="K32" s="87"/>
      <c r="L32" s="87"/>
    </row>
    <row r="33" spans="1:14" s="88" customFormat="1" ht="33" hidden="1" customHeight="1" x14ac:dyDescent="0.25">
      <c r="A33" s="139">
        <v>34</v>
      </c>
      <c r="B33" s="136" t="s">
        <v>134</v>
      </c>
      <c r="C33" s="99" t="s">
        <v>125</v>
      </c>
      <c r="D33" s="99" t="s">
        <v>109</v>
      </c>
      <c r="E33" s="99" t="s">
        <v>96</v>
      </c>
      <c r="F33" s="105">
        <v>7</v>
      </c>
      <c r="G33" s="105">
        <v>59</v>
      </c>
      <c r="H33" s="100">
        <v>32</v>
      </c>
      <c r="I33" s="102">
        <f t="shared" si="0"/>
        <v>0.5423728813559322</v>
      </c>
      <c r="J33" s="100" t="s">
        <v>18</v>
      </c>
      <c r="K33" s="46"/>
      <c r="L33" s="46"/>
      <c r="M33" s="87"/>
      <c r="N33" s="87"/>
    </row>
    <row r="34" spans="1:14" s="88" customFormat="1" ht="33" hidden="1" customHeight="1" x14ac:dyDescent="0.25">
      <c r="A34" s="141">
        <v>35</v>
      </c>
      <c r="B34" s="99" t="s">
        <v>164</v>
      </c>
      <c r="C34" s="99" t="s">
        <v>165</v>
      </c>
      <c r="D34" s="99" t="s">
        <v>72</v>
      </c>
      <c r="E34" s="99" t="s">
        <v>96</v>
      </c>
      <c r="F34" s="105">
        <v>7</v>
      </c>
      <c r="G34" s="105">
        <v>59</v>
      </c>
      <c r="H34" s="100">
        <v>25</v>
      </c>
      <c r="I34" s="102">
        <f t="shared" si="0"/>
        <v>0.42372881355932202</v>
      </c>
      <c r="J34" s="100" t="s">
        <v>71</v>
      </c>
      <c r="K34" s="46"/>
      <c r="L34" s="46"/>
    </row>
    <row r="35" spans="1:14" s="88" customFormat="1" ht="33" hidden="1" customHeight="1" x14ac:dyDescent="0.25">
      <c r="A35" s="14">
        <v>36</v>
      </c>
      <c r="B35" s="99" t="s">
        <v>166</v>
      </c>
      <c r="C35" s="99" t="s">
        <v>95</v>
      </c>
      <c r="D35" s="99" t="s">
        <v>13</v>
      </c>
      <c r="E35" s="99" t="s">
        <v>96</v>
      </c>
      <c r="F35" s="105">
        <v>8</v>
      </c>
      <c r="G35" s="105">
        <v>76</v>
      </c>
      <c r="H35" s="100">
        <v>19</v>
      </c>
      <c r="I35" s="102">
        <f t="shared" si="0"/>
        <v>0.25</v>
      </c>
      <c r="J35" s="100"/>
      <c r="K35" s="46"/>
      <c r="L35" s="46"/>
      <c r="M35" s="87"/>
      <c r="N35" s="87"/>
    </row>
    <row r="36" spans="1:14" s="88" customFormat="1" ht="33" hidden="1" customHeight="1" x14ac:dyDescent="0.25">
      <c r="A36" s="139">
        <v>37</v>
      </c>
      <c r="B36" s="136" t="s">
        <v>129</v>
      </c>
      <c r="C36" s="99" t="s">
        <v>95</v>
      </c>
      <c r="D36" s="99" t="s">
        <v>13</v>
      </c>
      <c r="E36" s="99" t="s">
        <v>96</v>
      </c>
      <c r="F36" s="105">
        <v>8</v>
      </c>
      <c r="G36" s="105">
        <v>76</v>
      </c>
      <c r="H36" s="100">
        <v>40</v>
      </c>
      <c r="I36" s="102">
        <f t="shared" si="0"/>
        <v>0.52631578947368418</v>
      </c>
      <c r="J36" s="100" t="s">
        <v>18</v>
      </c>
      <c r="K36" s="46"/>
      <c r="L36" s="46"/>
      <c r="M36" s="87"/>
      <c r="N36" s="87"/>
    </row>
    <row r="37" spans="1:14" s="88" customFormat="1" ht="33" hidden="1" customHeight="1" x14ac:dyDescent="0.25">
      <c r="A37" s="141">
        <v>49</v>
      </c>
      <c r="B37" s="138" t="s">
        <v>210</v>
      </c>
      <c r="C37" s="99" t="s">
        <v>220</v>
      </c>
      <c r="D37" s="99" t="s">
        <v>13</v>
      </c>
      <c r="E37" s="99" t="s">
        <v>56</v>
      </c>
      <c r="F37" s="100">
        <v>5</v>
      </c>
      <c r="G37" s="105">
        <v>50</v>
      </c>
      <c r="H37" s="100">
        <v>30</v>
      </c>
      <c r="I37" s="102">
        <f t="shared" si="0"/>
        <v>0.6</v>
      </c>
      <c r="J37" s="100" t="s">
        <v>17</v>
      </c>
      <c r="K37" s="46"/>
      <c r="L37" s="46"/>
      <c r="M37" s="87"/>
      <c r="N37" s="87"/>
    </row>
    <row r="38" spans="1:14" s="90" customFormat="1" ht="31.5" hidden="1" x14ac:dyDescent="0.25">
      <c r="A38" s="141">
        <v>50</v>
      </c>
      <c r="B38" s="138" t="s">
        <v>211</v>
      </c>
      <c r="C38" s="99" t="s">
        <v>220</v>
      </c>
      <c r="D38" s="99" t="s">
        <v>13</v>
      </c>
      <c r="E38" s="99" t="s">
        <v>56</v>
      </c>
      <c r="F38" s="100">
        <v>5</v>
      </c>
      <c r="G38" s="105">
        <v>50</v>
      </c>
      <c r="H38" s="100">
        <v>26</v>
      </c>
      <c r="I38" s="102">
        <f t="shared" si="0"/>
        <v>0.52</v>
      </c>
      <c r="J38" s="100" t="s">
        <v>18</v>
      </c>
      <c r="K38" s="46"/>
      <c r="L38" s="46"/>
    </row>
    <row r="39" spans="1:14" s="88" customFormat="1" ht="33" hidden="1" customHeight="1" x14ac:dyDescent="0.25">
      <c r="A39" s="141">
        <v>51</v>
      </c>
      <c r="B39" s="138" t="s">
        <v>212</v>
      </c>
      <c r="C39" s="99" t="s">
        <v>220</v>
      </c>
      <c r="D39" s="99" t="s">
        <v>13</v>
      </c>
      <c r="E39" s="99" t="s">
        <v>56</v>
      </c>
      <c r="F39" s="100">
        <v>5</v>
      </c>
      <c r="G39" s="105">
        <v>50</v>
      </c>
      <c r="H39" s="100">
        <v>25</v>
      </c>
      <c r="I39" s="102">
        <f t="shared" si="0"/>
        <v>0.5</v>
      </c>
      <c r="J39" s="100" t="s">
        <v>71</v>
      </c>
      <c r="K39" s="90"/>
      <c r="L39" s="90"/>
      <c r="M39" s="91"/>
      <c r="N39" s="91"/>
    </row>
    <row r="40" spans="1:14" s="88" customFormat="1" ht="33" hidden="1" customHeight="1" x14ac:dyDescent="0.25">
      <c r="A40" s="141">
        <v>52</v>
      </c>
      <c r="B40" s="138" t="s">
        <v>213</v>
      </c>
      <c r="C40" s="99" t="s">
        <v>220</v>
      </c>
      <c r="D40" s="99" t="s">
        <v>13</v>
      </c>
      <c r="E40" s="99" t="s">
        <v>56</v>
      </c>
      <c r="F40" s="100">
        <v>5</v>
      </c>
      <c r="G40" s="105">
        <v>50</v>
      </c>
      <c r="H40" s="100">
        <v>31</v>
      </c>
      <c r="I40" s="102">
        <f t="shared" si="0"/>
        <v>0.62</v>
      </c>
      <c r="J40" s="100" t="s">
        <v>17</v>
      </c>
      <c r="K40" s="87"/>
      <c r="L40" s="87"/>
    </row>
    <row r="41" spans="1:14" s="88" customFormat="1" ht="33" hidden="1" customHeight="1" x14ac:dyDescent="0.25">
      <c r="A41" s="141">
        <v>53</v>
      </c>
      <c r="B41" s="138" t="s">
        <v>177</v>
      </c>
      <c r="C41" s="99" t="s">
        <v>221</v>
      </c>
      <c r="D41" s="99" t="s">
        <v>24</v>
      </c>
      <c r="E41" s="99" t="s">
        <v>56</v>
      </c>
      <c r="F41" s="100">
        <v>5</v>
      </c>
      <c r="G41" s="105">
        <v>50</v>
      </c>
      <c r="H41" s="100">
        <v>24</v>
      </c>
      <c r="I41" s="102">
        <f t="shared" si="0"/>
        <v>0.48</v>
      </c>
      <c r="J41" s="100" t="s">
        <v>71</v>
      </c>
      <c r="K41" s="46"/>
      <c r="L41" s="46"/>
    </row>
    <row r="42" spans="1:14" s="90" customFormat="1" ht="31.5" hidden="1" x14ac:dyDescent="0.25">
      <c r="A42" s="141">
        <v>54</v>
      </c>
      <c r="B42" s="138" t="s">
        <v>214</v>
      </c>
      <c r="C42" s="99" t="s">
        <v>221</v>
      </c>
      <c r="D42" s="99" t="s">
        <v>24</v>
      </c>
      <c r="E42" s="99" t="s">
        <v>56</v>
      </c>
      <c r="F42" s="100">
        <v>5</v>
      </c>
      <c r="G42" s="105">
        <v>50</v>
      </c>
      <c r="H42" s="100">
        <v>21</v>
      </c>
      <c r="I42" s="102">
        <f t="shared" si="0"/>
        <v>0.42</v>
      </c>
      <c r="J42" s="100" t="s">
        <v>71</v>
      </c>
      <c r="K42" s="46"/>
      <c r="L42" s="46"/>
      <c r="M42" s="46"/>
      <c r="N42" s="46"/>
    </row>
    <row r="43" spans="1:14" s="88" customFormat="1" ht="33" hidden="1" customHeight="1" x14ac:dyDescent="0.25">
      <c r="A43" s="141">
        <v>55</v>
      </c>
      <c r="B43" s="138" t="s">
        <v>215</v>
      </c>
      <c r="C43" s="99" t="s">
        <v>222</v>
      </c>
      <c r="D43" s="99" t="s">
        <v>24</v>
      </c>
      <c r="E43" s="99" t="s">
        <v>56</v>
      </c>
      <c r="F43" s="100">
        <v>5</v>
      </c>
      <c r="G43" s="105">
        <v>50</v>
      </c>
      <c r="H43" s="100">
        <v>23</v>
      </c>
      <c r="I43" s="102">
        <f t="shared" si="0"/>
        <v>0.46</v>
      </c>
      <c r="J43" s="100" t="s">
        <v>71</v>
      </c>
      <c r="K43" s="46"/>
      <c r="L43" s="46"/>
      <c r="M43" s="91"/>
      <c r="N43" s="91"/>
    </row>
    <row r="44" spans="1:14" s="88" customFormat="1" ht="33" hidden="1" customHeight="1" x14ac:dyDescent="0.25">
      <c r="A44" s="141">
        <v>56</v>
      </c>
      <c r="B44" s="138" t="s">
        <v>179</v>
      </c>
      <c r="C44" s="99" t="s">
        <v>223</v>
      </c>
      <c r="D44" s="99" t="s">
        <v>109</v>
      </c>
      <c r="E44" s="99" t="s">
        <v>56</v>
      </c>
      <c r="F44" s="100">
        <v>5</v>
      </c>
      <c r="G44" s="105">
        <v>50</v>
      </c>
      <c r="H44" s="100">
        <v>21</v>
      </c>
      <c r="I44" s="102">
        <f t="shared" si="0"/>
        <v>0.42</v>
      </c>
      <c r="J44" s="100" t="s">
        <v>71</v>
      </c>
      <c r="K44" s="46"/>
      <c r="L44" s="46"/>
      <c r="M44" s="87"/>
      <c r="N44" s="87"/>
    </row>
    <row r="45" spans="1:14" s="88" customFormat="1" ht="33" hidden="1" customHeight="1" x14ac:dyDescent="0.25">
      <c r="A45" s="141">
        <v>57</v>
      </c>
      <c r="B45" s="138" t="s">
        <v>216</v>
      </c>
      <c r="C45" s="99" t="s">
        <v>223</v>
      </c>
      <c r="D45" s="99" t="s">
        <v>109</v>
      </c>
      <c r="E45" s="99" t="s">
        <v>56</v>
      </c>
      <c r="F45" s="100">
        <v>5</v>
      </c>
      <c r="G45" s="105">
        <v>50</v>
      </c>
      <c r="H45" s="100">
        <v>25</v>
      </c>
      <c r="I45" s="102">
        <f t="shared" si="0"/>
        <v>0.5</v>
      </c>
      <c r="J45" s="100" t="s">
        <v>18</v>
      </c>
      <c r="K45" s="46"/>
      <c r="L45" s="46"/>
      <c r="M45" s="87"/>
      <c r="N45" s="87"/>
    </row>
    <row r="46" spans="1:14" s="90" customFormat="1" ht="31.5" hidden="1" x14ac:dyDescent="0.25">
      <c r="A46" s="141">
        <v>58</v>
      </c>
      <c r="B46" s="138" t="s">
        <v>180</v>
      </c>
      <c r="C46" s="99" t="s">
        <v>223</v>
      </c>
      <c r="D46" s="99" t="s">
        <v>109</v>
      </c>
      <c r="E46" s="99" t="s">
        <v>56</v>
      </c>
      <c r="F46" s="100">
        <v>5</v>
      </c>
      <c r="G46" s="105">
        <v>50</v>
      </c>
      <c r="H46" s="100">
        <v>27</v>
      </c>
      <c r="I46" s="102">
        <f t="shared" si="0"/>
        <v>0.54</v>
      </c>
      <c r="J46" s="100" t="s">
        <v>18</v>
      </c>
      <c r="K46" s="46"/>
      <c r="L46" s="46"/>
      <c r="M46" s="92"/>
      <c r="N46" s="92"/>
    </row>
    <row r="47" spans="1:14" s="88" customFormat="1" ht="33" hidden="1" customHeight="1" x14ac:dyDescent="0.25">
      <c r="A47" s="141">
        <v>59</v>
      </c>
      <c r="B47" s="138" t="s">
        <v>217</v>
      </c>
      <c r="C47" s="99" t="s">
        <v>224</v>
      </c>
      <c r="D47" s="99" t="s">
        <v>14</v>
      </c>
      <c r="E47" s="99" t="s">
        <v>56</v>
      </c>
      <c r="F47" s="100">
        <v>5</v>
      </c>
      <c r="G47" s="105">
        <v>50</v>
      </c>
      <c r="H47" s="100">
        <v>25</v>
      </c>
      <c r="I47" s="102">
        <f t="shared" si="0"/>
        <v>0.5</v>
      </c>
      <c r="J47" s="100" t="s">
        <v>18</v>
      </c>
      <c r="K47" s="46"/>
      <c r="L47" s="46"/>
    </row>
    <row r="48" spans="1:14" s="88" customFormat="1" ht="33" hidden="1" customHeight="1" x14ac:dyDescent="0.25">
      <c r="A48" s="141">
        <v>60</v>
      </c>
      <c r="B48" s="138" t="s">
        <v>218</v>
      </c>
      <c r="C48" s="99" t="s">
        <v>225</v>
      </c>
      <c r="D48" s="99" t="s">
        <v>72</v>
      </c>
      <c r="E48" s="99" t="s">
        <v>56</v>
      </c>
      <c r="F48" s="100">
        <v>5</v>
      </c>
      <c r="G48" s="105">
        <v>50</v>
      </c>
      <c r="H48" s="100">
        <v>33</v>
      </c>
      <c r="I48" s="102">
        <f t="shared" si="0"/>
        <v>0.66</v>
      </c>
      <c r="J48" s="100" t="s">
        <v>17</v>
      </c>
      <c r="K48" s="46"/>
      <c r="L48" s="46"/>
    </row>
    <row r="49" spans="1:14" s="90" customFormat="1" ht="31.5" hidden="1" x14ac:dyDescent="0.25">
      <c r="A49" s="14">
        <v>61</v>
      </c>
      <c r="B49" s="98" t="s">
        <v>185</v>
      </c>
      <c r="C49" s="99" t="s">
        <v>225</v>
      </c>
      <c r="D49" s="99" t="s">
        <v>72</v>
      </c>
      <c r="E49" s="99" t="s">
        <v>56</v>
      </c>
      <c r="F49" s="105">
        <v>5</v>
      </c>
      <c r="G49" s="105">
        <v>50</v>
      </c>
      <c r="H49" s="100">
        <v>18</v>
      </c>
      <c r="I49" s="102">
        <f t="shared" si="0"/>
        <v>0.36</v>
      </c>
      <c r="J49" s="100"/>
      <c r="K49" s="46"/>
      <c r="L49" s="46"/>
      <c r="M49" s="46"/>
      <c r="N49" s="46"/>
    </row>
    <row r="50" spans="1:14" s="88" customFormat="1" ht="33" hidden="1" customHeight="1" x14ac:dyDescent="0.25">
      <c r="A50" s="141">
        <v>62</v>
      </c>
      <c r="B50" s="138" t="s">
        <v>219</v>
      </c>
      <c r="C50" s="99" t="s">
        <v>224</v>
      </c>
      <c r="D50" s="99" t="s">
        <v>14</v>
      </c>
      <c r="E50" s="99" t="s">
        <v>56</v>
      </c>
      <c r="F50" s="105">
        <v>5</v>
      </c>
      <c r="G50" s="105">
        <v>50</v>
      </c>
      <c r="H50" s="100">
        <v>28</v>
      </c>
      <c r="I50" s="102">
        <f t="shared" si="0"/>
        <v>0.56000000000000005</v>
      </c>
      <c r="J50" s="100" t="s">
        <v>18</v>
      </c>
      <c r="K50" s="46"/>
      <c r="L50" s="46"/>
      <c r="M50" s="87"/>
      <c r="N50" s="87"/>
    </row>
    <row r="51" spans="1:14" s="88" customFormat="1" ht="33" hidden="1" customHeight="1" x14ac:dyDescent="0.25">
      <c r="A51" s="14">
        <v>63</v>
      </c>
      <c r="B51" s="98" t="s">
        <v>226</v>
      </c>
      <c r="C51" s="98" t="s">
        <v>234</v>
      </c>
      <c r="D51" s="99" t="s">
        <v>13</v>
      </c>
      <c r="E51" s="99" t="s">
        <v>56</v>
      </c>
      <c r="F51" s="105">
        <v>6</v>
      </c>
      <c r="G51" s="105">
        <v>50</v>
      </c>
      <c r="H51" s="100">
        <v>18</v>
      </c>
      <c r="I51" s="102">
        <f t="shared" si="0"/>
        <v>0.36</v>
      </c>
      <c r="J51" s="100"/>
      <c r="K51" s="90"/>
      <c r="L51" s="90"/>
      <c r="M51" s="87"/>
      <c r="N51" s="87"/>
    </row>
    <row r="52" spans="1:14" s="90" customFormat="1" ht="31.5" hidden="1" x14ac:dyDescent="0.25">
      <c r="A52" s="14">
        <v>64</v>
      </c>
      <c r="B52" s="98" t="s">
        <v>227</v>
      </c>
      <c r="C52" s="98" t="s">
        <v>234</v>
      </c>
      <c r="D52" s="99" t="s">
        <v>13</v>
      </c>
      <c r="E52" s="99" t="s">
        <v>56</v>
      </c>
      <c r="F52" s="105">
        <v>6</v>
      </c>
      <c r="G52" s="105">
        <v>50</v>
      </c>
      <c r="H52" s="100">
        <v>18</v>
      </c>
      <c r="I52" s="102">
        <f t="shared" si="0"/>
        <v>0.36</v>
      </c>
      <c r="J52" s="100"/>
      <c r="K52" s="46"/>
      <c r="L52" s="46"/>
      <c r="M52" s="46"/>
      <c r="N52" s="46"/>
    </row>
    <row r="53" spans="1:14" s="90" customFormat="1" ht="33" hidden="1" customHeight="1" x14ac:dyDescent="0.25">
      <c r="A53" s="14">
        <v>65</v>
      </c>
      <c r="B53" s="98" t="s">
        <v>228</v>
      </c>
      <c r="C53" s="98" t="s">
        <v>234</v>
      </c>
      <c r="D53" s="99" t="s">
        <v>13</v>
      </c>
      <c r="E53" s="99" t="s">
        <v>56</v>
      </c>
      <c r="F53" s="105">
        <v>6</v>
      </c>
      <c r="G53" s="105">
        <v>50</v>
      </c>
      <c r="H53" s="100">
        <v>16</v>
      </c>
      <c r="I53" s="102">
        <f t="shared" si="0"/>
        <v>0.32</v>
      </c>
      <c r="J53" s="100"/>
      <c r="K53" s="46"/>
      <c r="L53" s="46"/>
      <c r="M53" s="92"/>
      <c r="N53" s="92"/>
    </row>
    <row r="54" spans="1:14" s="90" customFormat="1" ht="33" hidden="1" customHeight="1" x14ac:dyDescent="0.25">
      <c r="A54" s="141">
        <v>66</v>
      </c>
      <c r="B54" s="138" t="s">
        <v>229</v>
      </c>
      <c r="C54" s="98" t="s">
        <v>221</v>
      </c>
      <c r="D54" s="99" t="s">
        <v>24</v>
      </c>
      <c r="E54" s="99" t="s">
        <v>56</v>
      </c>
      <c r="F54" s="105">
        <v>6</v>
      </c>
      <c r="G54" s="105">
        <v>50</v>
      </c>
      <c r="H54" s="100">
        <v>22</v>
      </c>
      <c r="I54" s="102">
        <f t="shared" ref="I54:I115" si="2">H54/G54</f>
        <v>0.44</v>
      </c>
      <c r="J54" s="100" t="s">
        <v>71</v>
      </c>
      <c r="K54" s="46"/>
      <c r="L54" s="46"/>
    </row>
    <row r="55" spans="1:14" s="90" customFormat="1" ht="33" hidden="1" customHeight="1" x14ac:dyDescent="0.25">
      <c r="A55" s="141">
        <v>67</v>
      </c>
      <c r="B55" s="138" t="s">
        <v>230</v>
      </c>
      <c r="C55" s="98" t="s">
        <v>235</v>
      </c>
      <c r="D55" s="99" t="s">
        <v>109</v>
      </c>
      <c r="E55" s="99" t="s">
        <v>56</v>
      </c>
      <c r="F55" s="105">
        <v>6</v>
      </c>
      <c r="G55" s="105">
        <v>50</v>
      </c>
      <c r="H55" s="100">
        <v>26</v>
      </c>
      <c r="I55" s="102">
        <f t="shared" si="2"/>
        <v>0.52</v>
      </c>
      <c r="J55" s="100" t="s">
        <v>18</v>
      </c>
      <c r="K55" s="46"/>
      <c r="L55" s="46"/>
      <c r="M55" s="46"/>
      <c r="N55" s="46"/>
    </row>
    <row r="56" spans="1:14" s="90" customFormat="1" ht="33" hidden="1" customHeight="1" x14ac:dyDescent="0.25">
      <c r="A56" s="141">
        <v>68</v>
      </c>
      <c r="B56" s="138" t="s">
        <v>231</v>
      </c>
      <c r="C56" s="98" t="s">
        <v>235</v>
      </c>
      <c r="D56" s="99" t="s">
        <v>109</v>
      </c>
      <c r="E56" s="99" t="s">
        <v>56</v>
      </c>
      <c r="F56" s="105">
        <v>6</v>
      </c>
      <c r="G56" s="105">
        <v>50</v>
      </c>
      <c r="H56" s="100">
        <v>23</v>
      </c>
      <c r="I56" s="102">
        <f t="shared" si="2"/>
        <v>0.46</v>
      </c>
      <c r="J56" s="100" t="s">
        <v>71</v>
      </c>
      <c r="K56" s="46"/>
      <c r="L56" s="46"/>
      <c r="M56" s="46"/>
      <c r="N56" s="46"/>
    </row>
    <row r="57" spans="1:14" s="90" customFormat="1" ht="33" hidden="1" customHeight="1" x14ac:dyDescent="0.25">
      <c r="A57" s="141">
        <v>69</v>
      </c>
      <c r="B57" s="138" t="s">
        <v>232</v>
      </c>
      <c r="C57" s="98" t="s">
        <v>235</v>
      </c>
      <c r="D57" s="99" t="s">
        <v>109</v>
      </c>
      <c r="E57" s="99" t="s">
        <v>56</v>
      </c>
      <c r="F57" s="105">
        <v>6</v>
      </c>
      <c r="G57" s="105">
        <v>50</v>
      </c>
      <c r="H57" s="100">
        <v>30</v>
      </c>
      <c r="I57" s="102">
        <f t="shared" si="2"/>
        <v>0.6</v>
      </c>
      <c r="J57" s="100" t="s">
        <v>17</v>
      </c>
      <c r="K57" s="46"/>
      <c r="L57" s="46"/>
    </row>
    <row r="58" spans="1:14" s="90" customFormat="1" ht="33" hidden="1" customHeight="1" x14ac:dyDescent="0.25">
      <c r="A58" s="141">
        <v>70</v>
      </c>
      <c r="B58" s="138" t="s">
        <v>233</v>
      </c>
      <c r="C58" s="98" t="s">
        <v>236</v>
      </c>
      <c r="D58" s="99" t="s">
        <v>14</v>
      </c>
      <c r="E58" s="99" t="s">
        <v>56</v>
      </c>
      <c r="F58" s="105">
        <v>6</v>
      </c>
      <c r="G58" s="105">
        <v>50</v>
      </c>
      <c r="H58" s="100">
        <v>22</v>
      </c>
      <c r="I58" s="102">
        <f t="shared" si="2"/>
        <v>0.44</v>
      </c>
      <c r="J58" s="100" t="s">
        <v>71</v>
      </c>
      <c r="K58" s="46"/>
      <c r="L58" s="46"/>
    </row>
    <row r="59" spans="1:14" s="90" customFormat="1" ht="33" hidden="1" customHeight="1" x14ac:dyDescent="0.25">
      <c r="A59" s="141">
        <v>71</v>
      </c>
      <c r="B59" s="138" t="s">
        <v>237</v>
      </c>
      <c r="C59" s="98" t="s">
        <v>220</v>
      </c>
      <c r="D59" s="99" t="s">
        <v>13</v>
      </c>
      <c r="E59" s="99" t="s">
        <v>56</v>
      </c>
      <c r="F59" s="105">
        <v>7</v>
      </c>
      <c r="G59" s="105">
        <v>50</v>
      </c>
      <c r="H59" s="100">
        <v>27</v>
      </c>
      <c r="I59" s="102">
        <f t="shared" si="2"/>
        <v>0.54</v>
      </c>
      <c r="J59" s="100" t="s">
        <v>18</v>
      </c>
      <c r="K59" s="46"/>
      <c r="L59" s="46"/>
      <c r="M59" s="46"/>
      <c r="N59" s="46"/>
    </row>
    <row r="60" spans="1:14" s="92" customFormat="1" ht="33" hidden="1" customHeight="1" x14ac:dyDescent="0.25">
      <c r="A60" s="14">
        <v>72</v>
      </c>
      <c r="B60" s="98" t="s">
        <v>238</v>
      </c>
      <c r="C60" s="98" t="s">
        <v>246</v>
      </c>
      <c r="D60" s="99" t="s">
        <v>13</v>
      </c>
      <c r="E60" s="99" t="s">
        <v>56</v>
      </c>
      <c r="F60" s="105">
        <v>7</v>
      </c>
      <c r="G60" s="105">
        <v>50</v>
      </c>
      <c r="H60" s="100">
        <v>17</v>
      </c>
      <c r="I60" s="102">
        <f t="shared" si="2"/>
        <v>0.34</v>
      </c>
      <c r="J60" s="100"/>
      <c r="K60" s="90"/>
      <c r="L60" s="90"/>
      <c r="M60" s="90"/>
      <c r="N60" s="90"/>
    </row>
    <row r="61" spans="1:14" s="92" customFormat="1" ht="33" hidden="1" customHeight="1" x14ac:dyDescent="0.25">
      <c r="A61" s="141">
        <v>73</v>
      </c>
      <c r="B61" s="138" t="s">
        <v>239</v>
      </c>
      <c r="C61" s="98" t="s">
        <v>221</v>
      </c>
      <c r="D61" s="99" t="s">
        <v>24</v>
      </c>
      <c r="E61" s="99" t="s">
        <v>56</v>
      </c>
      <c r="F61" s="105">
        <v>7</v>
      </c>
      <c r="G61" s="105">
        <v>50</v>
      </c>
      <c r="H61" s="100">
        <v>24</v>
      </c>
      <c r="I61" s="102">
        <f t="shared" si="2"/>
        <v>0.48</v>
      </c>
      <c r="J61" s="100" t="s">
        <v>71</v>
      </c>
      <c r="K61" s="46"/>
      <c r="L61" s="46"/>
      <c r="M61" s="46"/>
      <c r="N61" s="46"/>
    </row>
    <row r="62" spans="1:14" s="92" customFormat="1" ht="33" hidden="1" customHeight="1" x14ac:dyDescent="0.25">
      <c r="A62" s="14">
        <v>74</v>
      </c>
      <c r="B62" s="98" t="s">
        <v>240</v>
      </c>
      <c r="C62" s="98" t="s">
        <v>222</v>
      </c>
      <c r="D62" s="99" t="s">
        <v>24</v>
      </c>
      <c r="E62" s="99" t="s">
        <v>56</v>
      </c>
      <c r="F62" s="100">
        <v>7</v>
      </c>
      <c r="G62" s="105">
        <v>50</v>
      </c>
      <c r="H62" s="100">
        <v>16</v>
      </c>
      <c r="I62" s="102">
        <f t="shared" si="2"/>
        <v>0.32</v>
      </c>
      <c r="J62" s="100"/>
      <c r="K62" s="46"/>
      <c r="L62" s="46"/>
      <c r="M62" s="90"/>
      <c r="N62" s="90"/>
    </row>
    <row r="63" spans="1:14" s="90" customFormat="1" ht="33" hidden="1" customHeight="1" x14ac:dyDescent="0.25">
      <c r="A63" s="14">
        <v>75</v>
      </c>
      <c r="B63" s="98" t="s">
        <v>241</v>
      </c>
      <c r="C63" s="98" t="s">
        <v>221</v>
      </c>
      <c r="D63" s="99" t="s">
        <v>24</v>
      </c>
      <c r="E63" s="99" t="s">
        <v>56</v>
      </c>
      <c r="F63" s="100">
        <v>7</v>
      </c>
      <c r="G63" s="105">
        <v>50</v>
      </c>
      <c r="H63" s="100">
        <v>15</v>
      </c>
      <c r="I63" s="102">
        <f t="shared" si="2"/>
        <v>0.3</v>
      </c>
      <c r="J63" s="100"/>
      <c r="K63" s="46"/>
      <c r="L63" s="46"/>
      <c r="M63" s="46"/>
      <c r="N63" s="46"/>
    </row>
    <row r="64" spans="1:14" s="90" customFormat="1" ht="31.5" hidden="1" x14ac:dyDescent="0.25">
      <c r="A64" s="141">
        <v>76</v>
      </c>
      <c r="B64" s="138" t="s">
        <v>242</v>
      </c>
      <c r="C64" s="98" t="s">
        <v>235</v>
      </c>
      <c r="D64" s="99" t="s">
        <v>109</v>
      </c>
      <c r="E64" s="99" t="s">
        <v>56</v>
      </c>
      <c r="F64" s="100">
        <v>7</v>
      </c>
      <c r="G64" s="105">
        <v>50</v>
      </c>
      <c r="H64" s="100">
        <v>27</v>
      </c>
      <c r="I64" s="102">
        <f t="shared" si="2"/>
        <v>0.54</v>
      </c>
      <c r="J64" s="100" t="s">
        <v>18</v>
      </c>
      <c r="K64" s="46"/>
      <c r="L64" s="46"/>
      <c r="M64" s="46"/>
      <c r="N64" s="46"/>
    </row>
    <row r="65" spans="1:14" s="90" customFormat="1" ht="33" hidden="1" customHeight="1" x14ac:dyDescent="0.25">
      <c r="A65" s="141">
        <v>77</v>
      </c>
      <c r="B65" s="138" t="s">
        <v>243</v>
      </c>
      <c r="C65" s="98" t="s">
        <v>247</v>
      </c>
      <c r="D65" s="99" t="s">
        <v>12</v>
      </c>
      <c r="E65" s="99" t="s">
        <v>56</v>
      </c>
      <c r="F65" s="106">
        <v>7</v>
      </c>
      <c r="G65" s="105">
        <v>50</v>
      </c>
      <c r="H65" s="100">
        <v>37</v>
      </c>
      <c r="I65" s="102">
        <f t="shared" si="2"/>
        <v>0.74</v>
      </c>
      <c r="J65" s="100" t="s">
        <v>19</v>
      </c>
      <c r="K65" s="46"/>
      <c r="L65" s="46"/>
      <c r="M65" s="46"/>
      <c r="N65" s="46"/>
    </row>
    <row r="66" spans="1:14" s="90" customFormat="1" ht="33" hidden="1" customHeight="1" x14ac:dyDescent="0.25">
      <c r="A66" s="141">
        <v>78</v>
      </c>
      <c r="B66" s="138" t="s">
        <v>244</v>
      </c>
      <c r="C66" s="98" t="s">
        <v>236</v>
      </c>
      <c r="D66" s="99" t="s">
        <v>14</v>
      </c>
      <c r="E66" s="99" t="s">
        <v>56</v>
      </c>
      <c r="F66" s="106">
        <v>7</v>
      </c>
      <c r="G66" s="105">
        <v>50</v>
      </c>
      <c r="H66" s="100">
        <v>23</v>
      </c>
      <c r="I66" s="102">
        <f t="shared" si="2"/>
        <v>0.46</v>
      </c>
      <c r="J66" s="100" t="s">
        <v>71</v>
      </c>
      <c r="K66" s="46"/>
      <c r="L66" s="46"/>
      <c r="M66" s="46"/>
      <c r="N66" s="46"/>
    </row>
    <row r="67" spans="1:14" s="90" customFormat="1" ht="33" hidden="1" customHeight="1" x14ac:dyDescent="0.25">
      <c r="A67" s="141">
        <v>79</v>
      </c>
      <c r="B67" s="138" t="s">
        <v>245</v>
      </c>
      <c r="C67" s="98" t="s">
        <v>225</v>
      </c>
      <c r="D67" s="99" t="s">
        <v>72</v>
      </c>
      <c r="E67" s="99" t="s">
        <v>56</v>
      </c>
      <c r="F67" s="106">
        <v>7</v>
      </c>
      <c r="G67" s="105">
        <v>50</v>
      </c>
      <c r="H67" s="100">
        <v>23</v>
      </c>
      <c r="I67" s="102">
        <f t="shared" si="2"/>
        <v>0.46</v>
      </c>
      <c r="J67" s="100" t="s">
        <v>71</v>
      </c>
      <c r="K67" s="46"/>
      <c r="L67" s="46"/>
    </row>
    <row r="68" spans="1:14" s="90" customFormat="1" ht="33" hidden="1" customHeight="1" x14ac:dyDescent="0.25">
      <c r="A68" s="14">
        <v>80</v>
      </c>
      <c r="B68" s="98" t="s">
        <v>248</v>
      </c>
      <c r="C68" s="98" t="s">
        <v>234</v>
      </c>
      <c r="D68" s="99" t="s">
        <v>13</v>
      </c>
      <c r="E68" s="99" t="s">
        <v>56</v>
      </c>
      <c r="F68" s="106">
        <v>8</v>
      </c>
      <c r="G68" s="105">
        <v>50</v>
      </c>
      <c r="H68" s="100">
        <v>18</v>
      </c>
      <c r="I68" s="102">
        <f t="shared" si="2"/>
        <v>0.36</v>
      </c>
      <c r="J68" s="100"/>
      <c r="K68" s="46"/>
      <c r="L68" s="46"/>
    </row>
    <row r="69" spans="1:14" ht="31.5" hidden="1" x14ac:dyDescent="0.25">
      <c r="A69" s="14">
        <v>81</v>
      </c>
      <c r="B69" s="98" t="s">
        <v>249</v>
      </c>
      <c r="C69" s="98" t="s">
        <v>252</v>
      </c>
      <c r="D69" s="99" t="s">
        <v>24</v>
      </c>
      <c r="E69" s="99" t="s">
        <v>56</v>
      </c>
      <c r="F69" s="106">
        <v>8</v>
      </c>
      <c r="G69" s="105">
        <v>50</v>
      </c>
      <c r="H69" s="100">
        <v>8</v>
      </c>
      <c r="I69" s="102">
        <f t="shared" si="2"/>
        <v>0.16</v>
      </c>
      <c r="J69" s="100"/>
    </row>
    <row r="70" spans="1:14" ht="31.5" hidden="1" x14ac:dyDescent="0.25">
      <c r="A70" s="14">
        <v>82</v>
      </c>
      <c r="B70" s="98" t="s">
        <v>250</v>
      </c>
      <c r="C70" s="98" t="s">
        <v>224</v>
      </c>
      <c r="D70" s="99" t="s">
        <v>14</v>
      </c>
      <c r="E70" s="99" t="s">
        <v>56</v>
      </c>
      <c r="F70" s="106">
        <v>8</v>
      </c>
      <c r="G70" s="105">
        <v>50</v>
      </c>
      <c r="H70" s="100">
        <v>15</v>
      </c>
      <c r="I70" s="102">
        <f t="shared" si="2"/>
        <v>0.3</v>
      </c>
      <c r="J70" s="100"/>
      <c r="K70" s="91"/>
      <c r="L70" s="91"/>
    </row>
    <row r="71" spans="1:14" ht="31.5" hidden="1" x14ac:dyDescent="0.25">
      <c r="A71" s="141">
        <v>83</v>
      </c>
      <c r="B71" s="138" t="s">
        <v>251</v>
      </c>
      <c r="C71" s="98" t="s">
        <v>253</v>
      </c>
      <c r="D71" s="99" t="s">
        <v>79</v>
      </c>
      <c r="E71" s="99" t="s">
        <v>56</v>
      </c>
      <c r="F71" s="106">
        <v>8</v>
      </c>
      <c r="G71" s="105">
        <v>50</v>
      </c>
      <c r="H71" s="100">
        <v>22</v>
      </c>
      <c r="I71" s="102">
        <f t="shared" si="2"/>
        <v>0.44</v>
      </c>
      <c r="J71" s="100" t="s">
        <v>71</v>
      </c>
      <c r="K71" s="87"/>
      <c r="L71" s="87"/>
    </row>
    <row r="72" spans="1:14" ht="31.5" hidden="1" x14ac:dyDescent="0.25">
      <c r="A72" s="141">
        <v>85</v>
      </c>
      <c r="B72" s="138" t="s">
        <v>194</v>
      </c>
      <c r="C72" s="98" t="s">
        <v>197</v>
      </c>
      <c r="D72" s="99" t="s">
        <v>14</v>
      </c>
      <c r="E72" s="108" t="s">
        <v>99</v>
      </c>
      <c r="F72" s="106">
        <v>6</v>
      </c>
      <c r="G72" s="106">
        <v>96</v>
      </c>
      <c r="H72" s="106">
        <v>30</v>
      </c>
      <c r="I72" s="102">
        <f t="shared" si="2"/>
        <v>0.3125</v>
      </c>
      <c r="J72" s="100" t="s">
        <v>71</v>
      </c>
    </row>
    <row r="73" spans="1:14" s="96" customFormat="1" ht="31.5" hidden="1" x14ac:dyDescent="0.25">
      <c r="A73" s="93">
        <v>86</v>
      </c>
      <c r="B73" s="98" t="s">
        <v>195</v>
      </c>
      <c r="C73" s="98" t="s">
        <v>135</v>
      </c>
      <c r="D73" s="99" t="s">
        <v>109</v>
      </c>
      <c r="E73" s="108" t="s">
        <v>99</v>
      </c>
      <c r="F73" s="106">
        <v>6</v>
      </c>
      <c r="G73" s="106">
        <v>96</v>
      </c>
      <c r="H73" s="106">
        <v>23</v>
      </c>
      <c r="I73" s="102">
        <f t="shared" si="2"/>
        <v>0.23958333333333334</v>
      </c>
      <c r="J73" s="100"/>
      <c r="K73" s="46"/>
      <c r="L73" s="46"/>
    </row>
    <row r="74" spans="1:14" ht="31.5" hidden="1" x14ac:dyDescent="0.25">
      <c r="A74" s="14">
        <v>87</v>
      </c>
      <c r="B74" s="98" t="s">
        <v>196</v>
      </c>
      <c r="C74" s="98" t="s">
        <v>98</v>
      </c>
      <c r="D74" s="99" t="s">
        <v>24</v>
      </c>
      <c r="E74" s="108" t="s">
        <v>99</v>
      </c>
      <c r="F74" s="106">
        <v>6</v>
      </c>
      <c r="G74" s="106">
        <v>96</v>
      </c>
      <c r="H74" s="106">
        <v>17.5</v>
      </c>
      <c r="I74" s="102">
        <f t="shared" si="2"/>
        <v>0.18229166666666666</v>
      </c>
      <c r="J74" s="104"/>
    </row>
    <row r="75" spans="1:14" ht="31.5" hidden="1" x14ac:dyDescent="0.25">
      <c r="A75" s="141">
        <v>88</v>
      </c>
      <c r="B75" s="138" t="s">
        <v>198</v>
      </c>
      <c r="C75" s="98" t="s">
        <v>100</v>
      </c>
      <c r="D75" s="99" t="s">
        <v>24</v>
      </c>
      <c r="E75" s="108" t="s">
        <v>99</v>
      </c>
      <c r="F75" s="106">
        <v>7</v>
      </c>
      <c r="G75" s="106">
        <v>72</v>
      </c>
      <c r="H75" s="106">
        <v>41</v>
      </c>
      <c r="I75" s="102">
        <f t="shared" si="2"/>
        <v>0.56944444444444442</v>
      </c>
      <c r="J75" s="100" t="s">
        <v>71</v>
      </c>
    </row>
    <row r="76" spans="1:14" ht="31.5" hidden="1" x14ac:dyDescent="0.25">
      <c r="A76" s="141">
        <v>89</v>
      </c>
      <c r="B76" s="138" t="s">
        <v>132</v>
      </c>
      <c r="C76" s="98" t="s">
        <v>102</v>
      </c>
      <c r="D76" s="99" t="s">
        <v>13</v>
      </c>
      <c r="E76" s="108" t="s">
        <v>99</v>
      </c>
      <c r="F76" s="106">
        <v>7</v>
      </c>
      <c r="G76" s="106">
        <v>72</v>
      </c>
      <c r="H76" s="106">
        <v>40</v>
      </c>
      <c r="I76" s="102">
        <f t="shared" si="2"/>
        <v>0.55555555555555558</v>
      </c>
      <c r="J76" s="100" t="s">
        <v>71</v>
      </c>
    </row>
    <row r="77" spans="1:14" ht="31.5" hidden="1" x14ac:dyDescent="0.25">
      <c r="A77" s="93">
        <v>90</v>
      </c>
      <c r="B77" s="98" t="s">
        <v>133</v>
      </c>
      <c r="C77" s="98" t="s">
        <v>101</v>
      </c>
      <c r="D77" s="99" t="s">
        <v>14</v>
      </c>
      <c r="E77" s="108" t="s">
        <v>99</v>
      </c>
      <c r="F77" s="106">
        <v>7</v>
      </c>
      <c r="G77" s="106">
        <v>72</v>
      </c>
      <c r="H77" s="106">
        <v>24</v>
      </c>
      <c r="I77" s="102">
        <f t="shared" si="2"/>
        <v>0.33333333333333331</v>
      </c>
      <c r="J77" s="104"/>
    </row>
    <row r="78" spans="1:14" ht="31.5" hidden="1" x14ac:dyDescent="0.25">
      <c r="A78" s="141">
        <v>91</v>
      </c>
      <c r="B78" s="138" t="s">
        <v>122</v>
      </c>
      <c r="C78" s="98" t="s">
        <v>101</v>
      </c>
      <c r="D78" s="99" t="s">
        <v>14</v>
      </c>
      <c r="E78" s="108" t="s">
        <v>99</v>
      </c>
      <c r="F78" s="106">
        <v>8</v>
      </c>
      <c r="G78" s="106">
        <v>100</v>
      </c>
      <c r="H78" s="106">
        <v>42</v>
      </c>
      <c r="I78" s="102">
        <f t="shared" si="2"/>
        <v>0.42</v>
      </c>
      <c r="J78" s="100" t="s">
        <v>71</v>
      </c>
    </row>
    <row r="79" spans="1:14" ht="31.5" hidden="1" x14ac:dyDescent="0.25">
      <c r="A79" s="14">
        <v>92</v>
      </c>
      <c r="B79" s="98" t="s">
        <v>121</v>
      </c>
      <c r="C79" s="98" t="s">
        <v>102</v>
      </c>
      <c r="D79" s="99" t="s">
        <v>13</v>
      </c>
      <c r="E79" s="108" t="s">
        <v>99</v>
      </c>
      <c r="F79" s="106">
        <v>8</v>
      </c>
      <c r="G79" s="106">
        <v>100</v>
      </c>
      <c r="H79" s="106">
        <v>32</v>
      </c>
      <c r="I79" s="102">
        <f t="shared" si="2"/>
        <v>0.32</v>
      </c>
      <c r="J79" s="104"/>
      <c r="K79" s="90"/>
      <c r="L79" s="90"/>
    </row>
    <row r="80" spans="1:14" ht="31.5" hidden="1" x14ac:dyDescent="0.25">
      <c r="A80" s="14">
        <v>93</v>
      </c>
      <c r="B80" s="98" t="s">
        <v>199</v>
      </c>
      <c r="C80" s="98" t="s">
        <v>98</v>
      </c>
      <c r="D80" s="99" t="s">
        <v>24</v>
      </c>
      <c r="E80" s="108" t="s">
        <v>99</v>
      </c>
      <c r="F80" s="100">
        <v>8</v>
      </c>
      <c r="G80" s="106">
        <v>100</v>
      </c>
      <c r="H80" s="106">
        <v>17</v>
      </c>
      <c r="I80" s="102">
        <f t="shared" si="2"/>
        <v>0.17</v>
      </c>
      <c r="J80" s="104"/>
    </row>
    <row r="81" spans="1:10" ht="31.5" hidden="1" x14ac:dyDescent="0.25">
      <c r="A81" s="14">
        <v>94</v>
      </c>
      <c r="B81" s="98" t="s">
        <v>200</v>
      </c>
      <c r="C81" s="98" t="s">
        <v>102</v>
      </c>
      <c r="D81" s="99" t="s">
        <v>13</v>
      </c>
      <c r="E81" s="108" t="s">
        <v>99</v>
      </c>
      <c r="F81" s="100">
        <v>8</v>
      </c>
      <c r="G81" s="106">
        <v>100</v>
      </c>
      <c r="H81" s="106">
        <v>11</v>
      </c>
      <c r="I81" s="102">
        <f t="shared" si="2"/>
        <v>0.11</v>
      </c>
      <c r="J81" s="104"/>
    </row>
    <row r="82" spans="1:10" ht="31.5" hidden="1" x14ac:dyDescent="0.25">
      <c r="A82" s="139">
        <v>95</v>
      </c>
      <c r="B82" s="138" t="s">
        <v>155</v>
      </c>
      <c r="C82" s="98" t="s">
        <v>135</v>
      </c>
      <c r="D82" s="99" t="s">
        <v>109</v>
      </c>
      <c r="E82" s="108" t="s">
        <v>99</v>
      </c>
      <c r="F82" s="100">
        <v>9</v>
      </c>
      <c r="G82" s="106">
        <v>120</v>
      </c>
      <c r="H82" s="106">
        <v>73</v>
      </c>
      <c r="I82" s="102">
        <f t="shared" si="2"/>
        <v>0.60833333333333328</v>
      </c>
      <c r="J82" s="100" t="s">
        <v>17</v>
      </c>
    </row>
    <row r="83" spans="1:10" ht="31.5" hidden="1" x14ac:dyDescent="0.25">
      <c r="A83" s="139">
        <v>96</v>
      </c>
      <c r="B83" s="138" t="s">
        <v>136</v>
      </c>
      <c r="C83" s="98" t="s">
        <v>100</v>
      </c>
      <c r="D83" s="99" t="s">
        <v>24</v>
      </c>
      <c r="E83" s="108" t="s">
        <v>99</v>
      </c>
      <c r="F83" s="100">
        <v>9</v>
      </c>
      <c r="G83" s="106">
        <v>120</v>
      </c>
      <c r="H83" s="106">
        <v>72</v>
      </c>
      <c r="I83" s="102">
        <f t="shared" si="2"/>
        <v>0.6</v>
      </c>
      <c r="J83" s="100" t="s">
        <v>17</v>
      </c>
    </row>
    <row r="84" spans="1:10" ht="31.5" hidden="1" x14ac:dyDescent="0.25">
      <c r="A84" s="14">
        <v>97</v>
      </c>
      <c r="B84" s="98" t="s">
        <v>137</v>
      </c>
      <c r="C84" s="98" t="s">
        <v>101</v>
      </c>
      <c r="D84" s="99" t="s">
        <v>14</v>
      </c>
      <c r="E84" s="108" t="s">
        <v>99</v>
      </c>
      <c r="F84" s="100">
        <v>9</v>
      </c>
      <c r="G84" s="106">
        <v>120</v>
      </c>
      <c r="H84" s="106">
        <v>36</v>
      </c>
      <c r="I84" s="102">
        <f t="shared" si="2"/>
        <v>0.3</v>
      </c>
      <c r="J84" s="100"/>
    </row>
    <row r="85" spans="1:10" ht="31.5" hidden="1" x14ac:dyDescent="0.25">
      <c r="A85" s="14">
        <v>98</v>
      </c>
      <c r="B85" s="98" t="s">
        <v>154</v>
      </c>
      <c r="C85" s="98" t="s">
        <v>102</v>
      </c>
      <c r="D85" s="99" t="s">
        <v>13</v>
      </c>
      <c r="E85" s="108" t="s">
        <v>99</v>
      </c>
      <c r="F85" s="100">
        <v>9</v>
      </c>
      <c r="G85" s="106">
        <v>120</v>
      </c>
      <c r="H85" s="106">
        <v>35</v>
      </c>
      <c r="I85" s="102">
        <f t="shared" si="2"/>
        <v>0.29166666666666669</v>
      </c>
      <c r="J85" s="100"/>
    </row>
    <row r="86" spans="1:10" ht="31.5" hidden="1" x14ac:dyDescent="0.25">
      <c r="A86" s="14">
        <v>99</v>
      </c>
      <c r="B86" s="98" t="s">
        <v>156</v>
      </c>
      <c r="C86" s="98" t="s">
        <v>102</v>
      </c>
      <c r="D86" s="99" t="s">
        <v>13</v>
      </c>
      <c r="E86" s="108" t="s">
        <v>99</v>
      </c>
      <c r="F86" s="100">
        <v>9</v>
      </c>
      <c r="G86" s="106">
        <v>120</v>
      </c>
      <c r="H86" s="106">
        <v>34</v>
      </c>
      <c r="I86" s="102">
        <f t="shared" si="2"/>
        <v>0.28333333333333333</v>
      </c>
      <c r="J86" s="100"/>
    </row>
    <row r="87" spans="1:10" ht="31.5" hidden="1" x14ac:dyDescent="0.25">
      <c r="A87" s="14">
        <v>100</v>
      </c>
      <c r="B87" s="98" t="s">
        <v>138</v>
      </c>
      <c r="C87" s="98" t="s">
        <v>101</v>
      </c>
      <c r="D87" s="99" t="s">
        <v>14</v>
      </c>
      <c r="E87" s="108" t="s">
        <v>99</v>
      </c>
      <c r="F87" s="100">
        <v>9</v>
      </c>
      <c r="G87" s="106">
        <v>120</v>
      </c>
      <c r="H87" s="106">
        <v>30</v>
      </c>
      <c r="I87" s="102">
        <f t="shared" si="2"/>
        <v>0.25</v>
      </c>
      <c r="J87" s="106"/>
    </row>
    <row r="88" spans="1:10" ht="31.5" hidden="1" x14ac:dyDescent="0.25">
      <c r="A88" s="14">
        <v>101</v>
      </c>
      <c r="B88" s="98" t="s">
        <v>201</v>
      </c>
      <c r="C88" s="98" t="s">
        <v>102</v>
      </c>
      <c r="D88" s="99" t="s">
        <v>13</v>
      </c>
      <c r="E88" s="108" t="s">
        <v>99</v>
      </c>
      <c r="F88" s="106">
        <v>9</v>
      </c>
      <c r="G88" s="106">
        <v>120</v>
      </c>
      <c r="H88" s="106">
        <v>27</v>
      </c>
      <c r="I88" s="102">
        <f t="shared" si="2"/>
        <v>0.22500000000000001</v>
      </c>
      <c r="J88" s="106"/>
    </row>
    <row r="89" spans="1:10" ht="31.5" hidden="1" x14ac:dyDescent="0.25">
      <c r="A89" s="141">
        <v>103</v>
      </c>
      <c r="B89" s="138" t="s">
        <v>149</v>
      </c>
      <c r="C89" s="98" t="s">
        <v>87</v>
      </c>
      <c r="D89" s="99" t="s">
        <v>12</v>
      </c>
      <c r="E89" s="108" t="s">
        <v>140</v>
      </c>
      <c r="F89" s="106">
        <v>6</v>
      </c>
      <c r="G89" s="106">
        <v>100</v>
      </c>
      <c r="H89" s="106">
        <v>61</v>
      </c>
      <c r="I89" s="102">
        <f t="shared" si="2"/>
        <v>0.61</v>
      </c>
      <c r="J89" s="100" t="s">
        <v>17</v>
      </c>
    </row>
    <row r="90" spans="1:10" ht="31.5" hidden="1" x14ac:dyDescent="0.25">
      <c r="A90" s="141">
        <v>104</v>
      </c>
      <c r="B90" s="138" t="s">
        <v>142</v>
      </c>
      <c r="C90" s="98" t="s">
        <v>87</v>
      </c>
      <c r="D90" s="99" t="s">
        <v>12</v>
      </c>
      <c r="E90" s="108" t="s">
        <v>140</v>
      </c>
      <c r="F90" s="106">
        <v>6</v>
      </c>
      <c r="G90" s="106">
        <v>100</v>
      </c>
      <c r="H90" s="106">
        <v>60.3</v>
      </c>
      <c r="I90" s="102">
        <f t="shared" si="2"/>
        <v>0.60299999999999998</v>
      </c>
      <c r="J90" s="100" t="s">
        <v>17</v>
      </c>
    </row>
    <row r="91" spans="1:10" ht="31.5" hidden="1" x14ac:dyDescent="0.25">
      <c r="A91" s="141">
        <v>105</v>
      </c>
      <c r="B91" s="138" t="s">
        <v>202</v>
      </c>
      <c r="C91" s="98" t="s">
        <v>207</v>
      </c>
      <c r="D91" s="99" t="s">
        <v>24</v>
      </c>
      <c r="E91" s="108" t="s">
        <v>140</v>
      </c>
      <c r="F91" s="100">
        <v>6</v>
      </c>
      <c r="G91" s="106">
        <v>100</v>
      </c>
      <c r="H91" s="106">
        <v>53.4</v>
      </c>
      <c r="I91" s="102">
        <f t="shared" si="2"/>
        <v>0.53400000000000003</v>
      </c>
      <c r="J91" s="100" t="s">
        <v>18</v>
      </c>
    </row>
    <row r="92" spans="1:10" ht="31.5" hidden="1" x14ac:dyDescent="0.25">
      <c r="A92" s="141">
        <v>106</v>
      </c>
      <c r="B92" s="138" t="s">
        <v>203</v>
      </c>
      <c r="C92" s="98" t="s">
        <v>145</v>
      </c>
      <c r="D92" s="99" t="s">
        <v>109</v>
      </c>
      <c r="E92" s="99" t="s">
        <v>140</v>
      </c>
      <c r="F92" s="100">
        <v>6</v>
      </c>
      <c r="G92" s="100">
        <v>100</v>
      </c>
      <c r="H92" s="106">
        <v>49.5</v>
      </c>
      <c r="I92" s="102">
        <f t="shared" si="2"/>
        <v>0.495</v>
      </c>
      <c r="J92" s="100" t="s">
        <v>18</v>
      </c>
    </row>
    <row r="93" spans="1:10" ht="31.5" hidden="1" x14ac:dyDescent="0.25">
      <c r="A93" s="141">
        <v>107</v>
      </c>
      <c r="B93" s="138" t="s">
        <v>204</v>
      </c>
      <c r="C93" s="98" t="s">
        <v>87</v>
      </c>
      <c r="D93" s="99" t="s">
        <v>12</v>
      </c>
      <c r="E93" s="99" t="s">
        <v>140</v>
      </c>
      <c r="F93" s="100">
        <v>6</v>
      </c>
      <c r="G93" s="100">
        <v>100</v>
      </c>
      <c r="H93" s="106">
        <v>47.1</v>
      </c>
      <c r="I93" s="102">
        <f t="shared" si="2"/>
        <v>0.47100000000000003</v>
      </c>
      <c r="J93" s="100" t="s">
        <v>71</v>
      </c>
    </row>
    <row r="94" spans="1:10" ht="31.5" hidden="1" x14ac:dyDescent="0.25">
      <c r="A94" s="141">
        <v>108</v>
      </c>
      <c r="B94" s="138" t="s">
        <v>116</v>
      </c>
      <c r="C94" s="98" t="s">
        <v>207</v>
      </c>
      <c r="D94" s="99" t="s">
        <v>24</v>
      </c>
      <c r="E94" s="99" t="s">
        <v>140</v>
      </c>
      <c r="F94" s="100">
        <v>6</v>
      </c>
      <c r="G94" s="100">
        <v>100</v>
      </c>
      <c r="H94" s="106">
        <v>47.8</v>
      </c>
      <c r="I94" s="102">
        <f t="shared" si="2"/>
        <v>0.47799999999999998</v>
      </c>
      <c r="J94" s="100" t="s">
        <v>71</v>
      </c>
    </row>
    <row r="95" spans="1:10" ht="31.5" hidden="1" x14ac:dyDescent="0.25">
      <c r="A95" s="141">
        <v>109</v>
      </c>
      <c r="B95" s="138" t="s">
        <v>205</v>
      </c>
      <c r="C95" s="98" t="s">
        <v>148</v>
      </c>
      <c r="D95" s="99" t="s">
        <v>14</v>
      </c>
      <c r="E95" s="99" t="s">
        <v>140</v>
      </c>
      <c r="F95" s="100">
        <v>6</v>
      </c>
      <c r="G95" s="100">
        <v>100</v>
      </c>
      <c r="H95" s="106">
        <v>41.4</v>
      </c>
      <c r="I95" s="102">
        <f t="shared" si="2"/>
        <v>0.41399999999999998</v>
      </c>
      <c r="J95" s="100" t="s">
        <v>71</v>
      </c>
    </row>
    <row r="96" spans="1:10" ht="31.5" hidden="1" x14ac:dyDescent="0.25">
      <c r="A96" s="14">
        <v>110</v>
      </c>
      <c r="B96" s="98" t="s">
        <v>206</v>
      </c>
      <c r="C96" s="98" t="s">
        <v>207</v>
      </c>
      <c r="D96" s="99" t="s">
        <v>24</v>
      </c>
      <c r="E96" s="98" t="s">
        <v>140</v>
      </c>
      <c r="F96" s="100">
        <v>6</v>
      </c>
      <c r="G96" s="100">
        <v>100</v>
      </c>
      <c r="H96" s="106">
        <v>37</v>
      </c>
      <c r="I96" s="102">
        <f t="shared" si="2"/>
        <v>0.37</v>
      </c>
      <c r="J96" s="100"/>
    </row>
    <row r="97" spans="1:12" ht="31.5" hidden="1" x14ac:dyDescent="0.25">
      <c r="A97" s="141">
        <v>111</v>
      </c>
      <c r="B97" s="138" t="s">
        <v>141</v>
      </c>
      <c r="C97" s="98" t="s">
        <v>86</v>
      </c>
      <c r="D97" s="99" t="s">
        <v>24</v>
      </c>
      <c r="E97" s="98" t="s">
        <v>140</v>
      </c>
      <c r="F97" s="100">
        <v>7</v>
      </c>
      <c r="G97" s="100">
        <v>100</v>
      </c>
      <c r="H97" s="106">
        <v>76.099999999999994</v>
      </c>
      <c r="I97" s="102">
        <f t="shared" si="2"/>
        <v>0.7609999999999999</v>
      </c>
      <c r="J97" s="100" t="s">
        <v>19</v>
      </c>
    </row>
    <row r="98" spans="1:12" ht="31.5" hidden="1" x14ac:dyDescent="0.25">
      <c r="A98" s="141">
        <v>112</v>
      </c>
      <c r="B98" s="138" t="s">
        <v>150</v>
      </c>
      <c r="C98" s="98" t="s">
        <v>86</v>
      </c>
      <c r="D98" s="99" t="s">
        <v>24</v>
      </c>
      <c r="E98" s="98" t="s">
        <v>140</v>
      </c>
      <c r="F98" s="100">
        <v>7</v>
      </c>
      <c r="G98" s="100">
        <v>100</v>
      </c>
      <c r="H98" s="106">
        <v>67.2</v>
      </c>
      <c r="I98" s="102">
        <f t="shared" si="2"/>
        <v>0.67200000000000004</v>
      </c>
      <c r="J98" s="100" t="s">
        <v>17</v>
      </c>
    </row>
    <row r="99" spans="1:12" ht="31.5" hidden="1" x14ac:dyDescent="0.25">
      <c r="A99" s="141">
        <v>113</v>
      </c>
      <c r="B99" s="138" t="s">
        <v>208</v>
      </c>
      <c r="C99" s="98" t="s">
        <v>86</v>
      </c>
      <c r="D99" s="99" t="s">
        <v>24</v>
      </c>
      <c r="E99" s="98" t="s">
        <v>140</v>
      </c>
      <c r="F99" s="100">
        <v>7</v>
      </c>
      <c r="G99" s="100">
        <v>100</v>
      </c>
      <c r="H99" s="106">
        <v>61.6</v>
      </c>
      <c r="I99" s="102">
        <f t="shared" si="2"/>
        <v>0.61599999999999999</v>
      </c>
      <c r="J99" s="100" t="s">
        <v>17</v>
      </c>
    </row>
    <row r="100" spans="1:12" ht="31.5" hidden="1" x14ac:dyDescent="0.25">
      <c r="A100" s="141">
        <v>114</v>
      </c>
      <c r="B100" s="138" t="s">
        <v>209</v>
      </c>
      <c r="C100" s="98" t="s">
        <v>86</v>
      </c>
      <c r="D100" s="99" t="s">
        <v>24</v>
      </c>
      <c r="E100" s="98" t="s">
        <v>140</v>
      </c>
      <c r="F100" s="100">
        <v>7</v>
      </c>
      <c r="G100" s="100">
        <v>100</v>
      </c>
      <c r="H100" s="106">
        <v>61.6</v>
      </c>
      <c r="I100" s="102">
        <f t="shared" si="2"/>
        <v>0.61599999999999999</v>
      </c>
      <c r="J100" s="100" t="s">
        <v>17</v>
      </c>
    </row>
    <row r="101" spans="1:12" ht="31.5" hidden="1" x14ac:dyDescent="0.25">
      <c r="A101" s="141">
        <v>115</v>
      </c>
      <c r="B101" s="138" t="s">
        <v>143</v>
      </c>
      <c r="C101" s="98" t="s">
        <v>87</v>
      </c>
      <c r="D101" s="99" t="s">
        <v>12</v>
      </c>
      <c r="E101" s="98" t="s">
        <v>140</v>
      </c>
      <c r="F101" s="100">
        <v>7</v>
      </c>
      <c r="G101" s="100">
        <v>100</v>
      </c>
      <c r="H101" s="106">
        <v>57.7</v>
      </c>
      <c r="I101" s="102">
        <f t="shared" si="2"/>
        <v>0.57700000000000007</v>
      </c>
      <c r="J101" s="100" t="s">
        <v>18</v>
      </c>
      <c r="K101" s="90"/>
      <c r="L101" s="90"/>
    </row>
    <row r="102" spans="1:12" ht="31.5" hidden="1" x14ac:dyDescent="0.25">
      <c r="A102" s="141">
        <v>116</v>
      </c>
      <c r="B102" s="138" t="s">
        <v>131</v>
      </c>
      <c r="C102" s="98" t="s">
        <v>145</v>
      </c>
      <c r="D102" s="99" t="s">
        <v>109</v>
      </c>
      <c r="E102" s="98" t="s">
        <v>140</v>
      </c>
      <c r="F102" s="100">
        <v>7</v>
      </c>
      <c r="G102" s="100">
        <v>100</v>
      </c>
      <c r="H102" s="106">
        <v>44.1</v>
      </c>
      <c r="I102" s="102">
        <f t="shared" si="2"/>
        <v>0.441</v>
      </c>
      <c r="J102" s="100" t="s">
        <v>71</v>
      </c>
      <c r="K102" s="89"/>
      <c r="L102" s="89">
        <f>COUNTIFS('Самопроверка по школам'!J2:J68,"II",'Самопроверка по школам'!E2:E68,"Трудовое обучение",'Самопроверка по школам'!D2:D68,"СШ №1 г.Сенно")+COUNTIFS('Самопроверка по школам'!J2:J68,"I",'Самопроверка по школам'!E2:E68,"Трудовое обучение",'Самопроверка по школам'!D2:D68,"СШ №1 г.Сенно")+COUNTIFS('Самопроверка по школам'!J2:J68,"III",'Самопроверка по школам'!E2:E68,"Трудовое обучение",'Самопроверка по школам'!D2:D68,"СШ №1 г.Сенно")</f>
        <v>0</v>
      </c>
    </row>
    <row r="103" spans="1:12" ht="47.25" hidden="1" x14ac:dyDescent="0.25">
      <c r="A103" s="14">
        <v>117</v>
      </c>
      <c r="B103" s="98" t="s">
        <v>146</v>
      </c>
      <c r="C103" s="98" t="s">
        <v>147</v>
      </c>
      <c r="D103" s="99" t="s">
        <v>13</v>
      </c>
      <c r="E103" s="98" t="s">
        <v>140</v>
      </c>
      <c r="F103" s="100">
        <v>7</v>
      </c>
      <c r="G103" s="100">
        <v>100</v>
      </c>
      <c r="H103" s="106">
        <v>37</v>
      </c>
      <c r="I103" s="102">
        <f t="shared" si="2"/>
        <v>0.37</v>
      </c>
      <c r="J103" s="120"/>
    </row>
    <row r="104" spans="1:12" ht="31.5" hidden="1" x14ac:dyDescent="0.25">
      <c r="A104" s="14">
        <v>118</v>
      </c>
      <c r="B104" s="98" t="s">
        <v>144</v>
      </c>
      <c r="C104" s="98" t="s">
        <v>145</v>
      </c>
      <c r="D104" s="99" t="s">
        <v>109</v>
      </c>
      <c r="E104" s="98" t="s">
        <v>140</v>
      </c>
      <c r="F104" s="100">
        <v>7</v>
      </c>
      <c r="G104" s="100">
        <v>100</v>
      </c>
      <c r="H104" s="106">
        <v>27.9</v>
      </c>
      <c r="I104" s="102">
        <f t="shared" si="2"/>
        <v>0.27899999999999997</v>
      </c>
      <c r="J104" s="120"/>
    </row>
    <row r="105" spans="1:12" ht="31.5" hidden="1" x14ac:dyDescent="0.25">
      <c r="A105" s="14">
        <v>119</v>
      </c>
      <c r="B105" s="98" t="s">
        <v>139</v>
      </c>
      <c r="C105" s="98" t="s">
        <v>147</v>
      </c>
      <c r="D105" s="99" t="s">
        <v>13</v>
      </c>
      <c r="E105" s="98" t="s">
        <v>140</v>
      </c>
      <c r="F105" s="100">
        <v>7</v>
      </c>
      <c r="G105" s="106">
        <v>100</v>
      </c>
      <c r="H105" s="106">
        <v>22.9</v>
      </c>
      <c r="I105" s="102">
        <f t="shared" si="2"/>
        <v>0.22899999999999998</v>
      </c>
      <c r="J105" s="120"/>
    </row>
    <row r="106" spans="1:12" ht="31.5" hidden="1" x14ac:dyDescent="0.25">
      <c r="A106" s="141">
        <v>120</v>
      </c>
      <c r="B106" s="138" t="s">
        <v>151</v>
      </c>
      <c r="C106" s="98" t="s">
        <v>86</v>
      </c>
      <c r="D106" s="99" t="s">
        <v>24</v>
      </c>
      <c r="E106" s="98" t="s">
        <v>140</v>
      </c>
      <c r="F106" s="100">
        <v>8</v>
      </c>
      <c r="G106" s="106">
        <v>100</v>
      </c>
      <c r="H106" s="106">
        <v>62.5</v>
      </c>
      <c r="I106" s="102">
        <f t="shared" si="2"/>
        <v>0.625</v>
      </c>
      <c r="J106" s="100" t="s">
        <v>17</v>
      </c>
    </row>
    <row r="107" spans="1:12" ht="31.5" hidden="1" x14ac:dyDescent="0.25">
      <c r="A107" s="14">
        <v>121</v>
      </c>
      <c r="B107" s="98" t="s">
        <v>120</v>
      </c>
      <c r="C107" s="98" t="s">
        <v>145</v>
      </c>
      <c r="D107" s="99" t="s">
        <v>109</v>
      </c>
      <c r="E107" s="98" t="s">
        <v>140</v>
      </c>
      <c r="F107" s="100">
        <v>8</v>
      </c>
      <c r="G107" s="106">
        <v>100</v>
      </c>
      <c r="H107" s="106">
        <v>39.299999999999997</v>
      </c>
      <c r="I107" s="102">
        <f t="shared" si="2"/>
        <v>0.39299999999999996</v>
      </c>
      <c r="J107" s="100"/>
    </row>
    <row r="108" spans="1:12" ht="31.5" hidden="1" x14ac:dyDescent="0.25">
      <c r="A108" s="14">
        <v>122</v>
      </c>
      <c r="B108" s="98" t="s">
        <v>134</v>
      </c>
      <c r="C108" s="98" t="s">
        <v>318</v>
      </c>
      <c r="D108" s="99" t="s">
        <v>109</v>
      </c>
      <c r="E108" s="98" t="s">
        <v>90</v>
      </c>
      <c r="F108" s="100">
        <v>7</v>
      </c>
      <c r="G108" s="106">
        <v>100</v>
      </c>
      <c r="H108" s="106">
        <v>41</v>
      </c>
      <c r="I108" s="102">
        <f t="shared" si="2"/>
        <v>0.41</v>
      </c>
      <c r="J108" s="100"/>
    </row>
    <row r="109" spans="1:12" ht="31.5" hidden="1" x14ac:dyDescent="0.25">
      <c r="A109" s="14">
        <v>123</v>
      </c>
      <c r="B109" s="98" t="s">
        <v>133</v>
      </c>
      <c r="C109" s="98" t="s">
        <v>319</v>
      </c>
      <c r="D109" s="99" t="s">
        <v>14</v>
      </c>
      <c r="E109" s="98" t="s">
        <v>90</v>
      </c>
      <c r="F109" s="100">
        <v>7</v>
      </c>
      <c r="G109" s="106">
        <v>100</v>
      </c>
      <c r="H109" s="106">
        <v>32</v>
      </c>
      <c r="I109" s="102">
        <f t="shared" si="2"/>
        <v>0.32</v>
      </c>
      <c r="J109" s="100"/>
    </row>
    <row r="110" spans="1:12" ht="31.5" hidden="1" x14ac:dyDescent="0.25">
      <c r="A110" s="139">
        <v>124</v>
      </c>
      <c r="B110" s="138" t="s">
        <v>132</v>
      </c>
      <c r="C110" s="98" t="s">
        <v>320</v>
      </c>
      <c r="D110" s="99" t="s">
        <v>13</v>
      </c>
      <c r="E110" s="98" t="s">
        <v>90</v>
      </c>
      <c r="F110" s="100">
        <v>7</v>
      </c>
      <c r="G110" s="106">
        <v>100</v>
      </c>
      <c r="H110" s="106">
        <v>56</v>
      </c>
      <c r="I110" s="102">
        <f t="shared" si="2"/>
        <v>0.56000000000000005</v>
      </c>
      <c r="J110" s="100" t="s">
        <v>18</v>
      </c>
    </row>
    <row r="111" spans="1:12" ht="31.5" hidden="1" x14ac:dyDescent="0.25">
      <c r="A111" s="139">
        <v>125</v>
      </c>
      <c r="B111" s="138" t="s">
        <v>317</v>
      </c>
      <c r="C111" s="98" t="s">
        <v>320</v>
      </c>
      <c r="D111" s="99" t="s">
        <v>13</v>
      </c>
      <c r="E111" s="98" t="s">
        <v>90</v>
      </c>
      <c r="F111" s="100">
        <v>7</v>
      </c>
      <c r="G111" s="106">
        <v>100</v>
      </c>
      <c r="H111" s="106">
        <v>51</v>
      </c>
      <c r="I111" s="102">
        <f t="shared" si="2"/>
        <v>0.51</v>
      </c>
      <c r="J111" s="100" t="s">
        <v>18</v>
      </c>
    </row>
    <row r="112" spans="1:12" ht="31.5" hidden="1" x14ac:dyDescent="0.25">
      <c r="A112" s="139">
        <v>126</v>
      </c>
      <c r="B112" s="138" t="s">
        <v>198</v>
      </c>
      <c r="C112" s="98" t="s">
        <v>321</v>
      </c>
      <c r="D112" s="99" t="s">
        <v>24</v>
      </c>
      <c r="E112" s="98" t="s">
        <v>90</v>
      </c>
      <c r="F112" s="100">
        <v>7</v>
      </c>
      <c r="G112" s="106">
        <v>100</v>
      </c>
      <c r="H112" s="106">
        <v>57</v>
      </c>
      <c r="I112" s="102">
        <f t="shared" si="2"/>
        <v>0.56999999999999995</v>
      </c>
      <c r="J112" s="100" t="s">
        <v>18</v>
      </c>
    </row>
    <row r="113" spans="1:12" ht="31.5" hidden="1" x14ac:dyDescent="0.25">
      <c r="A113" s="14">
        <v>127</v>
      </c>
      <c r="B113" s="98" t="s">
        <v>122</v>
      </c>
      <c r="C113" s="98" t="s">
        <v>319</v>
      </c>
      <c r="D113" s="99" t="s">
        <v>14</v>
      </c>
      <c r="E113" s="98" t="s">
        <v>90</v>
      </c>
      <c r="F113" s="8">
        <v>8</v>
      </c>
      <c r="G113" s="106">
        <v>100</v>
      </c>
      <c r="H113" s="106">
        <v>33</v>
      </c>
      <c r="I113" s="102">
        <f t="shared" si="2"/>
        <v>0.33</v>
      </c>
      <c r="J113" s="100"/>
    </row>
    <row r="114" spans="1:12" ht="31.5" hidden="1" x14ac:dyDescent="0.25">
      <c r="A114" s="14">
        <v>128</v>
      </c>
      <c r="B114" s="98" t="s">
        <v>322</v>
      </c>
      <c r="C114" s="98" t="s">
        <v>319</v>
      </c>
      <c r="D114" s="99" t="s">
        <v>14</v>
      </c>
      <c r="E114" s="98" t="s">
        <v>90</v>
      </c>
      <c r="F114" s="8">
        <v>8</v>
      </c>
      <c r="G114" s="106">
        <v>100</v>
      </c>
      <c r="H114" s="106">
        <v>19.5</v>
      </c>
      <c r="I114" s="102">
        <f t="shared" si="2"/>
        <v>0.19500000000000001</v>
      </c>
      <c r="J114" s="100"/>
    </row>
    <row r="115" spans="1:12" ht="31.5" hidden="1" x14ac:dyDescent="0.25">
      <c r="A115" s="139">
        <v>129</v>
      </c>
      <c r="B115" s="138" t="s">
        <v>248</v>
      </c>
      <c r="C115" s="98" t="s">
        <v>320</v>
      </c>
      <c r="D115" s="99" t="s">
        <v>13</v>
      </c>
      <c r="E115" s="98" t="s">
        <v>90</v>
      </c>
      <c r="F115" s="8">
        <v>8</v>
      </c>
      <c r="G115" s="106">
        <v>100</v>
      </c>
      <c r="H115" s="106">
        <v>53</v>
      </c>
      <c r="I115" s="102">
        <f t="shared" si="2"/>
        <v>0.53</v>
      </c>
      <c r="J115" s="100" t="s">
        <v>18</v>
      </c>
    </row>
    <row r="116" spans="1:12" ht="31.5" hidden="1" x14ac:dyDescent="0.25">
      <c r="A116" s="14">
        <v>130</v>
      </c>
      <c r="B116" s="98" t="s">
        <v>323</v>
      </c>
      <c r="C116" s="98" t="s">
        <v>320</v>
      </c>
      <c r="D116" s="99" t="s">
        <v>13</v>
      </c>
      <c r="E116" s="98" t="s">
        <v>90</v>
      </c>
      <c r="F116" s="8">
        <v>8</v>
      </c>
      <c r="G116" s="106">
        <v>100</v>
      </c>
      <c r="H116" s="106">
        <v>35.5</v>
      </c>
      <c r="I116" s="102">
        <f t="shared" ref="I116:I168" si="3">H116/G116</f>
        <v>0.35499999999999998</v>
      </c>
      <c r="J116" s="100"/>
    </row>
    <row r="117" spans="1:12" ht="31.5" hidden="1" x14ac:dyDescent="0.25">
      <c r="A117" s="14">
        <v>131</v>
      </c>
      <c r="B117" s="98" t="s">
        <v>324</v>
      </c>
      <c r="C117" s="98" t="s">
        <v>320</v>
      </c>
      <c r="D117" s="99" t="s">
        <v>13</v>
      </c>
      <c r="E117" s="98" t="s">
        <v>90</v>
      </c>
      <c r="F117" s="8">
        <v>8</v>
      </c>
      <c r="G117" s="106">
        <v>100</v>
      </c>
      <c r="H117" s="106">
        <v>27</v>
      </c>
      <c r="I117" s="102">
        <f t="shared" si="3"/>
        <v>0.27</v>
      </c>
      <c r="J117" s="100"/>
    </row>
    <row r="118" spans="1:12" ht="31.5" hidden="1" x14ac:dyDescent="0.25">
      <c r="A118" s="14">
        <v>132</v>
      </c>
      <c r="B118" s="98" t="s">
        <v>170</v>
      </c>
      <c r="C118" s="98" t="s">
        <v>321</v>
      </c>
      <c r="D118" s="99" t="s">
        <v>24</v>
      </c>
      <c r="E118" s="98" t="s">
        <v>90</v>
      </c>
      <c r="F118" s="8">
        <v>8</v>
      </c>
      <c r="G118" s="106">
        <v>100</v>
      </c>
      <c r="H118" s="106">
        <v>31</v>
      </c>
      <c r="I118" s="102">
        <f t="shared" si="3"/>
        <v>0.31</v>
      </c>
      <c r="J118" s="100"/>
    </row>
    <row r="119" spans="1:12" ht="31.5" hidden="1" x14ac:dyDescent="0.25">
      <c r="A119" s="14">
        <v>133</v>
      </c>
      <c r="B119" s="98" t="s">
        <v>325</v>
      </c>
      <c r="C119" s="98" t="s">
        <v>321</v>
      </c>
      <c r="D119" s="99" t="s">
        <v>24</v>
      </c>
      <c r="E119" s="98" t="s">
        <v>90</v>
      </c>
      <c r="F119" s="8">
        <v>8</v>
      </c>
      <c r="G119" s="106">
        <v>100</v>
      </c>
      <c r="H119" s="106">
        <v>30</v>
      </c>
      <c r="I119" s="102">
        <f t="shared" si="3"/>
        <v>0.3</v>
      </c>
      <c r="J119" s="100"/>
      <c r="K119" s="88"/>
      <c r="L119" s="88"/>
    </row>
    <row r="120" spans="1:12" ht="31.5" hidden="1" x14ac:dyDescent="0.25">
      <c r="A120" s="139">
        <v>134</v>
      </c>
      <c r="B120" s="138" t="s">
        <v>333</v>
      </c>
      <c r="C120" s="98" t="s">
        <v>335</v>
      </c>
      <c r="D120" s="99" t="s">
        <v>15</v>
      </c>
      <c r="E120" s="110" t="s">
        <v>153</v>
      </c>
      <c r="F120" s="8">
        <v>7</v>
      </c>
      <c r="G120" s="8">
        <v>65</v>
      </c>
      <c r="H120" s="106">
        <v>40.299999999999997</v>
      </c>
      <c r="I120" s="102">
        <f t="shared" si="3"/>
        <v>0.62</v>
      </c>
      <c r="J120" s="100" t="s">
        <v>17</v>
      </c>
      <c r="K120" s="88"/>
      <c r="L120" s="88"/>
    </row>
    <row r="121" spans="1:12" ht="31.5" hidden="1" x14ac:dyDescent="0.25">
      <c r="A121" s="141">
        <v>135</v>
      </c>
      <c r="B121" s="138" t="s">
        <v>334</v>
      </c>
      <c r="C121" s="98" t="s">
        <v>336</v>
      </c>
      <c r="D121" s="99" t="s">
        <v>109</v>
      </c>
      <c r="E121" s="110" t="s">
        <v>153</v>
      </c>
      <c r="F121" s="8">
        <v>7</v>
      </c>
      <c r="G121" s="8">
        <v>65</v>
      </c>
      <c r="H121" s="106">
        <v>32</v>
      </c>
      <c r="I121" s="102">
        <f t="shared" si="3"/>
        <v>0.49230769230769234</v>
      </c>
      <c r="J121" s="100" t="s">
        <v>71</v>
      </c>
      <c r="K121" s="87"/>
      <c r="L121" s="87"/>
    </row>
    <row r="122" spans="1:12" ht="31.5" hidden="1" x14ac:dyDescent="0.25">
      <c r="A122" s="139">
        <v>136</v>
      </c>
      <c r="B122" s="138" t="s">
        <v>337</v>
      </c>
      <c r="C122" s="98" t="s">
        <v>343</v>
      </c>
      <c r="D122" s="99" t="s">
        <v>24</v>
      </c>
      <c r="E122" s="110" t="s">
        <v>153</v>
      </c>
      <c r="F122" s="8">
        <v>8</v>
      </c>
      <c r="G122" s="8">
        <v>80</v>
      </c>
      <c r="H122" s="106">
        <v>40</v>
      </c>
      <c r="I122" s="102">
        <f t="shared" si="3"/>
        <v>0.5</v>
      </c>
      <c r="J122" s="100" t="s">
        <v>18</v>
      </c>
    </row>
    <row r="123" spans="1:12" ht="31.5" hidden="1" x14ac:dyDescent="0.25">
      <c r="A123" s="141">
        <v>137</v>
      </c>
      <c r="B123" s="138" t="s">
        <v>322</v>
      </c>
      <c r="C123" s="98" t="s">
        <v>344</v>
      </c>
      <c r="D123" s="109" t="s">
        <v>14</v>
      </c>
      <c r="E123" s="110" t="s">
        <v>153</v>
      </c>
      <c r="F123" s="8">
        <v>8</v>
      </c>
      <c r="G123" s="8">
        <v>80</v>
      </c>
      <c r="H123" s="106">
        <v>34.6</v>
      </c>
      <c r="I123" s="102">
        <f t="shared" si="3"/>
        <v>0.4325</v>
      </c>
      <c r="J123" s="100" t="s">
        <v>71</v>
      </c>
    </row>
    <row r="124" spans="1:12" ht="47.25" hidden="1" x14ac:dyDescent="0.25">
      <c r="A124" s="141">
        <v>138</v>
      </c>
      <c r="B124" s="138" t="s">
        <v>338</v>
      </c>
      <c r="C124" s="98" t="s">
        <v>345</v>
      </c>
      <c r="D124" s="99" t="s">
        <v>13</v>
      </c>
      <c r="E124" s="110" t="s">
        <v>153</v>
      </c>
      <c r="F124" s="8">
        <v>8</v>
      </c>
      <c r="G124" s="8">
        <v>80</v>
      </c>
      <c r="H124" s="106">
        <v>32.9</v>
      </c>
      <c r="I124" s="102">
        <f t="shared" si="3"/>
        <v>0.41125</v>
      </c>
      <c r="J124" s="100" t="s">
        <v>71</v>
      </c>
    </row>
    <row r="125" spans="1:12" ht="47.25" hidden="1" x14ac:dyDescent="0.25">
      <c r="A125" s="141">
        <v>139</v>
      </c>
      <c r="B125" s="138" t="s">
        <v>339</v>
      </c>
      <c r="C125" s="98" t="s">
        <v>345</v>
      </c>
      <c r="D125" s="99" t="s">
        <v>13</v>
      </c>
      <c r="E125" s="110" t="s">
        <v>153</v>
      </c>
      <c r="F125" s="8">
        <v>8</v>
      </c>
      <c r="G125" s="8">
        <v>80</v>
      </c>
      <c r="H125" s="106">
        <v>32.799999999999997</v>
      </c>
      <c r="I125" s="102">
        <f t="shared" si="3"/>
        <v>0.41</v>
      </c>
      <c r="J125" s="100" t="s">
        <v>71</v>
      </c>
    </row>
    <row r="126" spans="1:12" ht="47.25" hidden="1" x14ac:dyDescent="0.25">
      <c r="A126" s="14">
        <v>140</v>
      </c>
      <c r="B126" s="98" t="s">
        <v>340</v>
      </c>
      <c r="C126" s="98" t="s">
        <v>345</v>
      </c>
      <c r="D126" s="99" t="s">
        <v>13</v>
      </c>
      <c r="E126" s="110" t="s">
        <v>153</v>
      </c>
      <c r="F126" s="8">
        <v>8</v>
      </c>
      <c r="G126" s="8">
        <v>80</v>
      </c>
      <c r="H126" s="106">
        <v>26.9</v>
      </c>
      <c r="I126" s="102">
        <f t="shared" si="3"/>
        <v>0.33624999999999999</v>
      </c>
      <c r="J126" s="100"/>
    </row>
    <row r="127" spans="1:12" ht="31.5" hidden="1" x14ac:dyDescent="0.25">
      <c r="A127" s="113">
        <v>141</v>
      </c>
      <c r="B127" s="98" t="s">
        <v>341</v>
      </c>
      <c r="C127" s="98" t="s">
        <v>344</v>
      </c>
      <c r="D127" s="109" t="s">
        <v>14</v>
      </c>
      <c r="E127" s="110" t="s">
        <v>153</v>
      </c>
      <c r="F127" s="8">
        <v>8</v>
      </c>
      <c r="G127" s="8">
        <v>80</v>
      </c>
      <c r="H127" s="106">
        <v>26.4</v>
      </c>
      <c r="I127" s="102">
        <f t="shared" si="3"/>
        <v>0.32999999999999996</v>
      </c>
      <c r="J127" s="100"/>
      <c r="K127" s="114"/>
    </row>
    <row r="128" spans="1:12" ht="31.5" hidden="1" x14ac:dyDescent="0.25">
      <c r="A128" s="113">
        <v>142</v>
      </c>
      <c r="B128" s="98" t="s">
        <v>342</v>
      </c>
      <c r="C128" s="98" t="s">
        <v>336</v>
      </c>
      <c r="D128" s="99" t="s">
        <v>109</v>
      </c>
      <c r="E128" s="110" t="s">
        <v>153</v>
      </c>
      <c r="F128" s="8">
        <v>8</v>
      </c>
      <c r="G128" s="8">
        <v>80</v>
      </c>
      <c r="H128" s="106">
        <v>26.4</v>
      </c>
      <c r="I128" s="102">
        <f t="shared" si="3"/>
        <v>0.32999999999999996</v>
      </c>
      <c r="J128" s="100"/>
      <c r="K128" s="114"/>
    </row>
    <row r="129" spans="1:12" ht="31.5" hidden="1" x14ac:dyDescent="0.25">
      <c r="A129" s="140">
        <v>151</v>
      </c>
      <c r="B129" s="138" t="s">
        <v>121</v>
      </c>
      <c r="C129" s="98" t="s">
        <v>348</v>
      </c>
      <c r="D129" s="99" t="s">
        <v>13</v>
      </c>
      <c r="E129" s="111" t="s">
        <v>92</v>
      </c>
      <c r="F129" s="8">
        <v>8</v>
      </c>
      <c r="G129" s="8">
        <v>80</v>
      </c>
      <c r="H129" s="106">
        <v>42</v>
      </c>
      <c r="I129" s="102">
        <f t="shared" si="3"/>
        <v>0.52500000000000002</v>
      </c>
      <c r="J129" s="100" t="s">
        <v>18</v>
      </c>
      <c r="K129" s="114"/>
    </row>
    <row r="130" spans="1:12" ht="47.25" hidden="1" x14ac:dyDescent="0.25">
      <c r="A130" s="140">
        <v>152</v>
      </c>
      <c r="B130" s="138" t="s">
        <v>346</v>
      </c>
      <c r="C130" s="98" t="s">
        <v>349</v>
      </c>
      <c r="D130" s="99" t="s">
        <v>24</v>
      </c>
      <c r="E130" s="111" t="s">
        <v>92</v>
      </c>
      <c r="F130" s="8">
        <v>8</v>
      </c>
      <c r="G130" s="8">
        <v>80</v>
      </c>
      <c r="H130" s="106">
        <v>42</v>
      </c>
      <c r="I130" s="102">
        <f t="shared" si="3"/>
        <v>0.52500000000000002</v>
      </c>
      <c r="J130" s="100" t="s">
        <v>18</v>
      </c>
      <c r="K130" s="114"/>
    </row>
    <row r="131" spans="1:12" ht="31.5" hidden="1" x14ac:dyDescent="0.25">
      <c r="A131" s="113">
        <v>153</v>
      </c>
      <c r="B131" s="98" t="s">
        <v>347</v>
      </c>
      <c r="C131" s="98" t="s">
        <v>348</v>
      </c>
      <c r="D131" s="99" t="s">
        <v>13</v>
      </c>
      <c r="E131" s="111" t="s">
        <v>92</v>
      </c>
      <c r="F131" s="8">
        <v>8</v>
      </c>
      <c r="G131" s="8">
        <v>80</v>
      </c>
      <c r="H131" s="106">
        <v>14</v>
      </c>
      <c r="I131" s="102">
        <f t="shared" si="3"/>
        <v>0.17499999999999999</v>
      </c>
      <c r="J131" s="100"/>
      <c r="K131" s="114"/>
    </row>
    <row r="132" spans="1:12" ht="31.5" hidden="1" x14ac:dyDescent="0.25">
      <c r="A132" s="113">
        <v>154</v>
      </c>
      <c r="B132" s="98" t="s">
        <v>341</v>
      </c>
      <c r="C132" s="98" t="s">
        <v>350</v>
      </c>
      <c r="D132" s="99" t="s">
        <v>14</v>
      </c>
      <c r="E132" s="111" t="s">
        <v>92</v>
      </c>
      <c r="F132" s="8">
        <v>8</v>
      </c>
      <c r="G132" s="8">
        <v>80</v>
      </c>
      <c r="H132" s="106">
        <v>13</v>
      </c>
      <c r="I132" s="102">
        <f t="shared" si="3"/>
        <v>0.16250000000000001</v>
      </c>
      <c r="J132" s="100"/>
      <c r="K132" s="115"/>
      <c r="L132" s="87"/>
    </row>
    <row r="133" spans="1:12" ht="31.5" x14ac:dyDescent="0.25">
      <c r="A133" s="140">
        <v>158</v>
      </c>
      <c r="B133" s="134" t="s">
        <v>254</v>
      </c>
      <c r="C133" s="107" t="s">
        <v>267</v>
      </c>
      <c r="D133" s="99" t="s">
        <v>13</v>
      </c>
      <c r="E133" s="111" t="s">
        <v>91</v>
      </c>
      <c r="F133" s="8">
        <v>5</v>
      </c>
      <c r="G133" s="106">
        <v>50</v>
      </c>
      <c r="H133" s="105">
        <v>38</v>
      </c>
      <c r="I133" s="102">
        <f t="shared" si="3"/>
        <v>0.76</v>
      </c>
      <c r="J133" s="100" t="s">
        <v>19</v>
      </c>
      <c r="K133" s="114"/>
    </row>
    <row r="134" spans="1:12" ht="31.5" x14ac:dyDescent="0.25">
      <c r="A134" s="140">
        <v>159</v>
      </c>
      <c r="B134" s="134" t="s">
        <v>255</v>
      </c>
      <c r="C134" s="107" t="s">
        <v>267</v>
      </c>
      <c r="D134" s="99" t="s">
        <v>13</v>
      </c>
      <c r="E134" s="111" t="s">
        <v>91</v>
      </c>
      <c r="F134" s="8">
        <v>5</v>
      </c>
      <c r="G134" s="106">
        <v>50</v>
      </c>
      <c r="H134" s="105">
        <v>34</v>
      </c>
      <c r="I134" s="102">
        <f t="shared" si="3"/>
        <v>0.68</v>
      </c>
      <c r="J134" s="100" t="s">
        <v>17</v>
      </c>
      <c r="K134" s="114"/>
    </row>
    <row r="135" spans="1:12" ht="31.5" x14ac:dyDescent="0.25">
      <c r="A135" s="140">
        <v>160</v>
      </c>
      <c r="B135" s="134" t="s">
        <v>256</v>
      </c>
      <c r="C135" s="107" t="s">
        <v>267</v>
      </c>
      <c r="D135" s="99" t="s">
        <v>13</v>
      </c>
      <c r="E135" s="111" t="s">
        <v>91</v>
      </c>
      <c r="F135" s="8">
        <v>5</v>
      </c>
      <c r="G135" s="106">
        <v>50</v>
      </c>
      <c r="H135" s="105">
        <v>36</v>
      </c>
      <c r="I135" s="102">
        <f t="shared" si="3"/>
        <v>0.72</v>
      </c>
      <c r="J135" s="100" t="s">
        <v>17</v>
      </c>
      <c r="K135" s="115"/>
      <c r="L135" s="87"/>
    </row>
    <row r="136" spans="1:12" ht="31.5" x14ac:dyDescent="0.25">
      <c r="A136" s="140">
        <v>161</v>
      </c>
      <c r="B136" s="134" t="s">
        <v>257</v>
      </c>
      <c r="C136" s="107" t="s">
        <v>267</v>
      </c>
      <c r="D136" s="99" t="s">
        <v>13</v>
      </c>
      <c r="E136" s="111" t="s">
        <v>91</v>
      </c>
      <c r="F136" s="8">
        <v>5</v>
      </c>
      <c r="G136" s="106">
        <v>50</v>
      </c>
      <c r="H136" s="105">
        <v>39</v>
      </c>
      <c r="I136" s="102">
        <f t="shared" si="3"/>
        <v>0.78</v>
      </c>
      <c r="J136" s="100" t="s">
        <v>19</v>
      </c>
      <c r="K136" s="114"/>
    </row>
    <row r="137" spans="1:12" ht="31.5" hidden="1" x14ac:dyDescent="0.25">
      <c r="A137" s="113">
        <v>162</v>
      </c>
      <c r="B137" s="107" t="s">
        <v>258</v>
      </c>
      <c r="C137" s="107" t="s">
        <v>268</v>
      </c>
      <c r="D137" s="99" t="s">
        <v>24</v>
      </c>
      <c r="E137" s="111" t="s">
        <v>91</v>
      </c>
      <c r="F137" s="8">
        <v>5</v>
      </c>
      <c r="G137" s="106">
        <v>50</v>
      </c>
      <c r="H137" s="105">
        <v>16</v>
      </c>
      <c r="I137" s="102">
        <f t="shared" si="3"/>
        <v>0.32</v>
      </c>
      <c r="J137" s="100"/>
      <c r="K137" s="114"/>
    </row>
    <row r="138" spans="1:12" ht="31.5" hidden="1" x14ac:dyDescent="0.25">
      <c r="A138" s="140">
        <v>163</v>
      </c>
      <c r="B138" s="134" t="s">
        <v>259</v>
      </c>
      <c r="C138" s="107" t="s">
        <v>269</v>
      </c>
      <c r="D138" s="99" t="s">
        <v>24</v>
      </c>
      <c r="E138" s="111" t="s">
        <v>91</v>
      </c>
      <c r="F138" s="8">
        <v>5</v>
      </c>
      <c r="G138" s="106">
        <v>50</v>
      </c>
      <c r="H138" s="105">
        <v>21</v>
      </c>
      <c r="I138" s="102">
        <f t="shared" si="3"/>
        <v>0.42</v>
      </c>
      <c r="J138" s="100" t="s">
        <v>71</v>
      </c>
      <c r="K138" s="114"/>
    </row>
    <row r="139" spans="1:12" ht="31.5" x14ac:dyDescent="0.25">
      <c r="A139" s="140">
        <v>164</v>
      </c>
      <c r="B139" s="134" t="s">
        <v>260</v>
      </c>
      <c r="C139" s="107" t="s">
        <v>269</v>
      </c>
      <c r="D139" s="99" t="s">
        <v>24</v>
      </c>
      <c r="E139" s="111" t="s">
        <v>91</v>
      </c>
      <c r="F139" s="8">
        <v>5</v>
      </c>
      <c r="G139" s="106">
        <v>50</v>
      </c>
      <c r="H139" s="105">
        <v>29</v>
      </c>
      <c r="I139" s="102">
        <f t="shared" si="3"/>
        <v>0.57999999999999996</v>
      </c>
      <c r="J139" s="100" t="s">
        <v>18</v>
      </c>
      <c r="K139" s="114"/>
    </row>
    <row r="140" spans="1:12" ht="31.5" x14ac:dyDescent="0.25">
      <c r="A140" s="140">
        <v>165</v>
      </c>
      <c r="B140" s="134" t="s">
        <v>261</v>
      </c>
      <c r="C140" s="107" t="s">
        <v>270</v>
      </c>
      <c r="D140" s="99" t="s">
        <v>109</v>
      </c>
      <c r="E140" s="111" t="s">
        <v>91</v>
      </c>
      <c r="F140" s="8">
        <v>5</v>
      </c>
      <c r="G140" s="106">
        <v>50</v>
      </c>
      <c r="H140" s="105">
        <v>31</v>
      </c>
      <c r="I140" s="102">
        <f t="shared" si="3"/>
        <v>0.62</v>
      </c>
      <c r="J140" s="100" t="s">
        <v>18</v>
      </c>
      <c r="K140" s="114"/>
    </row>
    <row r="141" spans="1:12" ht="31.5" x14ac:dyDescent="0.25">
      <c r="A141" s="140">
        <v>166</v>
      </c>
      <c r="B141" s="134" t="s">
        <v>262</v>
      </c>
      <c r="C141" s="107" t="s">
        <v>271</v>
      </c>
      <c r="D141" s="99" t="s">
        <v>15</v>
      </c>
      <c r="E141" s="111" t="s">
        <v>91</v>
      </c>
      <c r="F141" s="8">
        <v>5</v>
      </c>
      <c r="G141" s="106">
        <v>50</v>
      </c>
      <c r="H141" s="105">
        <v>33</v>
      </c>
      <c r="I141" s="102">
        <f t="shared" si="3"/>
        <v>0.66</v>
      </c>
      <c r="J141" s="100" t="s">
        <v>17</v>
      </c>
      <c r="K141" s="114"/>
    </row>
    <row r="142" spans="1:12" ht="31.5" x14ac:dyDescent="0.25">
      <c r="A142" s="140">
        <v>167</v>
      </c>
      <c r="B142" s="134" t="s">
        <v>263</v>
      </c>
      <c r="C142" s="107" t="s">
        <v>272</v>
      </c>
      <c r="D142" s="99" t="s">
        <v>14</v>
      </c>
      <c r="E142" s="111" t="s">
        <v>91</v>
      </c>
      <c r="F142" s="8">
        <v>5</v>
      </c>
      <c r="G142" s="106">
        <v>50</v>
      </c>
      <c r="H142" s="105">
        <v>31</v>
      </c>
      <c r="I142" s="102">
        <f t="shared" si="3"/>
        <v>0.62</v>
      </c>
      <c r="J142" s="100" t="s">
        <v>18</v>
      </c>
      <c r="K142" s="114"/>
    </row>
    <row r="143" spans="1:12" ht="31.5" hidden="1" x14ac:dyDescent="0.25">
      <c r="A143" s="140">
        <v>168</v>
      </c>
      <c r="B143" s="134" t="s">
        <v>264</v>
      </c>
      <c r="C143" s="107" t="s">
        <v>272</v>
      </c>
      <c r="D143" s="109" t="s">
        <v>14</v>
      </c>
      <c r="E143" s="111" t="s">
        <v>91</v>
      </c>
      <c r="F143" s="8">
        <v>5</v>
      </c>
      <c r="G143" s="106">
        <v>50</v>
      </c>
      <c r="H143" s="105">
        <v>21</v>
      </c>
      <c r="I143" s="102">
        <f t="shared" si="3"/>
        <v>0.42</v>
      </c>
      <c r="J143" s="100" t="s">
        <v>71</v>
      </c>
      <c r="K143" s="114"/>
    </row>
    <row r="144" spans="1:12" ht="31.5" x14ac:dyDescent="0.25">
      <c r="A144" s="140">
        <v>169</v>
      </c>
      <c r="B144" s="134" t="s">
        <v>265</v>
      </c>
      <c r="C144" s="107" t="s">
        <v>273</v>
      </c>
      <c r="D144" s="109" t="s">
        <v>79</v>
      </c>
      <c r="E144" s="111" t="s">
        <v>91</v>
      </c>
      <c r="F144" s="8">
        <v>5</v>
      </c>
      <c r="G144" s="106">
        <v>50</v>
      </c>
      <c r="H144" s="105">
        <v>37</v>
      </c>
      <c r="I144" s="102">
        <f t="shared" si="3"/>
        <v>0.74</v>
      </c>
      <c r="J144" s="100" t="s">
        <v>17</v>
      </c>
      <c r="K144" s="116"/>
      <c r="L144" s="88"/>
    </row>
    <row r="145" spans="1:12" ht="31.5" x14ac:dyDescent="0.25">
      <c r="A145" s="140">
        <v>170</v>
      </c>
      <c r="B145" s="134" t="s">
        <v>266</v>
      </c>
      <c r="C145" s="107" t="s">
        <v>274</v>
      </c>
      <c r="D145" s="109" t="s">
        <v>72</v>
      </c>
      <c r="E145" s="111" t="s">
        <v>91</v>
      </c>
      <c r="F145" s="8">
        <v>5</v>
      </c>
      <c r="G145" s="106">
        <v>50</v>
      </c>
      <c r="H145" s="105">
        <v>42</v>
      </c>
      <c r="I145" s="102">
        <f t="shared" si="3"/>
        <v>0.84</v>
      </c>
      <c r="J145" s="100" t="s">
        <v>19</v>
      </c>
      <c r="K145" s="116"/>
      <c r="L145" s="88"/>
    </row>
    <row r="146" spans="1:12" ht="31.5" hidden="1" x14ac:dyDescent="0.25">
      <c r="A146" s="140">
        <v>171</v>
      </c>
      <c r="B146" s="134" t="s">
        <v>275</v>
      </c>
      <c r="C146" s="107" t="s">
        <v>281</v>
      </c>
      <c r="D146" s="99" t="s">
        <v>24</v>
      </c>
      <c r="E146" s="111" t="s">
        <v>91</v>
      </c>
      <c r="F146" s="8">
        <v>6</v>
      </c>
      <c r="G146" s="106">
        <v>50</v>
      </c>
      <c r="H146" s="105">
        <v>22</v>
      </c>
      <c r="I146" s="102">
        <f t="shared" si="3"/>
        <v>0.44</v>
      </c>
      <c r="J146" s="100" t="s">
        <v>71</v>
      </c>
      <c r="K146" s="116"/>
      <c r="L146" s="88"/>
    </row>
    <row r="147" spans="1:12" ht="31.5" hidden="1" x14ac:dyDescent="0.25">
      <c r="A147" s="113">
        <v>172</v>
      </c>
      <c r="B147" s="107" t="s">
        <v>276</v>
      </c>
      <c r="C147" s="107" t="s">
        <v>281</v>
      </c>
      <c r="D147" s="99" t="s">
        <v>24</v>
      </c>
      <c r="E147" s="111" t="s">
        <v>91</v>
      </c>
      <c r="F147" s="8">
        <v>6</v>
      </c>
      <c r="G147" s="106">
        <v>50</v>
      </c>
      <c r="H147" s="105">
        <v>9</v>
      </c>
      <c r="I147" s="102">
        <f t="shared" si="3"/>
        <v>0.18</v>
      </c>
      <c r="J147" s="100"/>
      <c r="K147" s="116"/>
      <c r="L147" s="88"/>
    </row>
    <row r="148" spans="1:12" ht="31.5" hidden="1" x14ac:dyDescent="0.25">
      <c r="A148" s="113">
        <v>173</v>
      </c>
      <c r="B148" s="107" t="s">
        <v>277</v>
      </c>
      <c r="C148" s="107" t="s">
        <v>270</v>
      </c>
      <c r="D148" s="99" t="s">
        <v>109</v>
      </c>
      <c r="E148" s="111" t="s">
        <v>91</v>
      </c>
      <c r="F148" s="8">
        <v>6</v>
      </c>
      <c r="G148" s="106">
        <v>50</v>
      </c>
      <c r="H148" s="105">
        <v>19</v>
      </c>
      <c r="I148" s="102">
        <f t="shared" si="3"/>
        <v>0.38</v>
      </c>
      <c r="J148" s="100"/>
      <c r="K148" s="117"/>
      <c r="L148" s="96"/>
    </row>
    <row r="149" spans="1:12" ht="31.5" x14ac:dyDescent="0.25">
      <c r="A149" s="140">
        <v>174</v>
      </c>
      <c r="B149" s="134" t="s">
        <v>278</v>
      </c>
      <c r="C149" s="107" t="s">
        <v>270</v>
      </c>
      <c r="D149" s="99" t="s">
        <v>109</v>
      </c>
      <c r="E149" s="111" t="s">
        <v>91</v>
      </c>
      <c r="F149" s="8">
        <v>6</v>
      </c>
      <c r="G149" s="106">
        <v>50</v>
      </c>
      <c r="H149" s="105">
        <v>30</v>
      </c>
      <c r="I149" s="102">
        <f t="shared" si="3"/>
        <v>0.6</v>
      </c>
      <c r="J149" s="100" t="s">
        <v>18</v>
      </c>
      <c r="K149" s="114"/>
    </row>
    <row r="150" spans="1:12" ht="31.5" x14ac:dyDescent="0.25">
      <c r="A150" s="140">
        <v>175</v>
      </c>
      <c r="B150" s="134" t="s">
        <v>279</v>
      </c>
      <c r="C150" s="107" t="s">
        <v>282</v>
      </c>
      <c r="D150" s="99" t="s">
        <v>12</v>
      </c>
      <c r="E150" s="111" t="s">
        <v>91</v>
      </c>
      <c r="F150" s="8">
        <v>6</v>
      </c>
      <c r="G150" s="106">
        <v>50</v>
      </c>
      <c r="H150" s="105">
        <v>26</v>
      </c>
      <c r="I150" s="102">
        <f t="shared" si="3"/>
        <v>0.52</v>
      </c>
      <c r="J150" s="100" t="s">
        <v>18</v>
      </c>
      <c r="K150" s="114"/>
    </row>
    <row r="151" spans="1:12" ht="31.5" x14ac:dyDescent="0.25">
      <c r="A151" s="140">
        <v>176</v>
      </c>
      <c r="B151" s="135" t="s">
        <v>280</v>
      </c>
      <c r="C151" s="107" t="s">
        <v>272</v>
      </c>
      <c r="D151" s="99" t="s">
        <v>14</v>
      </c>
      <c r="E151" s="111" t="s">
        <v>91</v>
      </c>
      <c r="F151" s="8">
        <v>6</v>
      </c>
      <c r="G151" s="106">
        <v>50</v>
      </c>
      <c r="H151" s="105">
        <v>33</v>
      </c>
      <c r="I151" s="102">
        <f t="shared" si="3"/>
        <v>0.66</v>
      </c>
      <c r="J151" s="100" t="s">
        <v>17</v>
      </c>
      <c r="K151" s="114"/>
    </row>
    <row r="152" spans="1:12" ht="31.5" hidden="1" x14ac:dyDescent="0.25">
      <c r="A152" s="140">
        <v>177</v>
      </c>
      <c r="B152" s="134" t="s">
        <v>283</v>
      </c>
      <c r="C152" s="107" t="s">
        <v>293</v>
      </c>
      <c r="D152" s="99" t="s">
        <v>13</v>
      </c>
      <c r="E152" s="111" t="s">
        <v>91</v>
      </c>
      <c r="F152" s="8">
        <v>7</v>
      </c>
      <c r="G152" s="106">
        <v>50</v>
      </c>
      <c r="H152" s="105">
        <v>21</v>
      </c>
      <c r="I152" s="102">
        <f t="shared" si="3"/>
        <v>0.42</v>
      </c>
      <c r="J152" s="100" t="s">
        <v>71</v>
      </c>
      <c r="K152" s="114"/>
    </row>
    <row r="153" spans="1:12" ht="31.5" hidden="1" x14ac:dyDescent="0.25">
      <c r="A153" s="113">
        <v>178</v>
      </c>
      <c r="B153" s="107" t="s">
        <v>284</v>
      </c>
      <c r="C153" s="107" t="s">
        <v>293</v>
      </c>
      <c r="D153" s="99" t="s">
        <v>13</v>
      </c>
      <c r="E153" s="111" t="s">
        <v>91</v>
      </c>
      <c r="F153" s="8">
        <v>7</v>
      </c>
      <c r="G153" s="106">
        <v>50</v>
      </c>
      <c r="H153" s="105">
        <v>11</v>
      </c>
      <c r="I153" s="102">
        <f t="shared" si="3"/>
        <v>0.22</v>
      </c>
      <c r="J153" s="100"/>
      <c r="K153" s="114"/>
    </row>
    <row r="154" spans="1:12" ht="31.5" hidden="1" x14ac:dyDescent="0.25">
      <c r="A154" s="113">
        <v>179</v>
      </c>
      <c r="B154" s="107" t="s">
        <v>285</v>
      </c>
      <c r="C154" s="107" t="s">
        <v>281</v>
      </c>
      <c r="D154" s="99" t="s">
        <v>24</v>
      </c>
      <c r="E154" s="111" t="s">
        <v>91</v>
      </c>
      <c r="F154" s="8">
        <v>7</v>
      </c>
      <c r="G154" s="106">
        <v>50</v>
      </c>
      <c r="H154" s="105">
        <v>13</v>
      </c>
      <c r="I154" s="102">
        <f t="shared" si="3"/>
        <v>0.26</v>
      </c>
      <c r="J154" s="100"/>
      <c r="K154" s="114"/>
    </row>
    <row r="155" spans="1:12" ht="31.5" hidden="1" x14ac:dyDescent="0.25">
      <c r="A155" s="113">
        <v>180</v>
      </c>
      <c r="B155" s="107" t="s">
        <v>286</v>
      </c>
      <c r="C155" s="107" t="s">
        <v>281</v>
      </c>
      <c r="D155" s="99" t="s">
        <v>24</v>
      </c>
      <c r="E155" s="111" t="s">
        <v>91</v>
      </c>
      <c r="F155" s="8">
        <v>7</v>
      </c>
      <c r="G155" s="106">
        <v>50</v>
      </c>
      <c r="H155" s="105">
        <v>10</v>
      </c>
      <c r="I155" s="102">
        <f t="shared" si="3"/>
        <v>0.2</v>
      </c>
      <c r="J155" s="100"/>
      <c r="K155" s="114"/>
    </row>
    <row r="156" spans="1:12" ht="31.5" hidden="1" x14ac:dyDescent="0.25">
      <c r="A156" s="113">
        <v>181</v>
      </c>
      <c r="B156" s="107" t="s">
        <v>287</v>
      </c>
      <c r="C156" s="107" t="s">
        <v>294</v>
      </c>
      <c r="D156" s="109" t="s">
        <v>109</v>
      </c>
      <c r="E156" s="111" t="s">
        <v>91</v>
      </c>
      <c r="F156" s="8">
        <v>7</v>
      </c>
      <c r="G156" s="106">
        <v>50</v>
      </c>
      <c r="H156" s="105">
        <v>12</v>
      </c>
      <c r="I156" s="102">
        <f t="shared" si="3"/>
        <v>0.24</v>
      </c>
      <c r="J156" s="100"/>
      <c r="K156" s="114"/>
    </row>
    <row r="157" spans="1:12" ht="31.5" hidden="1" x14ac:dyDescent="0.25">
      <c r="A157" s="140">
        <v>182</v>
      </c>
      <c r="B157" s="134" t="s">
        <v>288</v>
      </c>
      <c r="C157" s="107" t="s">
        <v>294</v>
      </c>
      <c r="D157" s="109" t="s">
        <v>109</v>
      </c>
      <c r="E157" s="111" t="s">
        <v>91</v>
      </c>
      <c r="F157" s="8">
        <v>7</v>
      </c>
      <c r="G157" s="106">
        <v>50</v>
      </c>
      <c r="H157" s="105">
        <v>21</v>
      </c>
      <c r="I157" s="102">
        <f t="shared" si="3"/>
        <v>0.42</v>
      </c>
      <c r="J157" s="100" t="s">
        <v>71</v>
      </c>
      <c r="K157" s="114"/>
    </row>
    <row r="158" spans="1:12" ht="31.5" hidden="1" x14ac:dyDescent="0.25">
      <c r="A158" s="113">
        <v>183</v>
      </c>
      <c r="B158" s="107" t="s">
        <v>289</v>
      </c>
      <c r="C158" s="107" t="s">
        <v>271</v>
      </c>
      <c r="D158" s="109" t="s">
        <v>15</v>
      </c>
      <c r="E158" s="111" t="s">
        <v>91</v>
      </c>
      <c r="F158" s="8">
        <v>7</v>
      </c>
      <c r="G158" s="106">
        <v>50</v>
      </c>
      <c r="H158" s="105">
        <v>11</v>
      </c>
      <c r="I158" s="102">
        <f t="shared" si="3"/>
        <v>0.22</v>
      </c>
      <c r="J158" s="100"/>
      <c r="K158" s="114"/>
    </row>
    <row r="159" spans="1:12" ht="31.5" hidden="1" x14ac:dyDescent="0.25">
      <c r="A159" s="113">
        <v>184</v>
      </c>
      <c r="B159" s="107" t="s">
        <v>290</v>
      </c>
      <c r="C159" s="107" t="s">
        <v>282</v>
      </c>
      <c r="D159" s="109" t="s">
        <v>12</v>
      </c>
      <c r="E159" s="111" t="s">
        <v>91</v>
      </c>
      <c r="F159" s="8">
        <v>7</v>
      </c>
      <c r="G159" s="106">
        <v>50</v>
      </c>
      <c r="H159" s="105">
        <v>10</v>
      </c>
      <c r="I159" s="102">
        <f t="shared" si="3"/>
        <v>0.2</v>
      </c>
      <c r="J159" s="100"/>
      <c r="K159" s="114"/>
    </row>
    <row r="160" spans="1:12" ht="39.75" hidden="1" customHeight="1" x14ac:dyDescent="0.25">
      <c r="A160" s="113">
        <v>185</v>
      </c>
      <c r="B160" s="107" t="s">
        <v>291</v>
      </c>
      <c r="C160" s="107" t="s">
        <v>282</v>
      </c>
      <c r="D160" s="109" t="s">
        <v>12</v>
      </c>
      <c r="E160" s="111" t="s">
        <v>91</v>
      </c>
      <c r="F160" s="8">
        <v>7</v>
      </c>
      <c r="G160" s="106">
        <v>50</v>
      </c>
      <c r="H160" s="105">
        <v>12</v>
      </c>
      <c r="I160" s="102">
        <f t="shared" si="3"/>
        <v>0.24</v>
      </c>
      <c r="J160" s="100"/>
      <c r="K160" s="114"/>
    </row>
    <row r="161" spans="1:12" ht="31.5" hidden="1" x14ac:dyDescent="0.25">
      <c r="A161" s="113">
        <v>186</v>
      </c>
      <c r="B161" s="107" t="s">
        <v>292</v>
      </c>
      <c r="C161" s="107" t="s">
        <v>295</v>
      </c>
      <c r="D161" s="109" t="s">
        <v>14</v>
      </c>
      <c r="E161" s="111" t="s">
        <v>91</v>
      </c>
      <c r="F161" s="8">
        <v>7</v>
      </c>
      <c r="G161" s="106">
        <v>50</v>
      </c>
      <c r="H161" s="105">
        <v>17</v>
      </c>
      <c r="I161" s="102">
        <f t="shared" si="3"/>
        <v>0.34</v>
      </c>
      <c r="J161" s="100"/>
      <c r="K161" s="114"/>
    </row>
    <row r="162" spans="1:12" ht="31.5" hidden="1" x14ac:dyDescent="0.25">
      <c r="A162" s="113">
        <v>187</v>
      </c>
      <c r="B162" s="107" t="s">
        <v>296</v>
      </c>
      <c r="C162" s="107" t="s">
        <v>293</v>
      </c>
      <c r="D162" s="99" t="s">
        <v>13</v>
      </c>
      <c r="E162" s="111" t="s">
        <v>91</v>
      </c>
      <c r="F162" s="8">
        <v>8</v>
      </c>
      <c r="G162" s="106">
        <v>50</v>
      </c>
      <c r="H162" s="105">
        <v>17</v>
      </c>
      <c r="I162" s="102">
        <f t="shared" si="3"/>
        <v>0.34</v>
      </c>
      <c r="J162" s="112"/>
      <c r="K162" s="116"/>
      <c r="L162" s="88"/>
    </row>
    <row r="163" spans="1:12" ht="31.5" hidden="1" x14ac:dyDescent="0.25">
      <c r="A163" s="113">
        <v>188</v>
      </c>
      <c r="B163" s="107" t="s">
        <v>297</v>
      </c>
      <c r="C163" s="107" t="s">
        <v>300</v>
      </c>
      <c r="D163" s="99" t="s">
        <v>109</v>
      </c>
      <c r="E163" s="111" t="s">
        <v>91</v>
      </c>
      <c r="F163" s="100">
        <v>8</v>
      </c>
      <c r="G163" s="106">
        <v>50</v>
      </c>
      <c r="H163" s="105">
        <v>16</v>
      </c>
      <c r="I163" s="102">
        <f t="shared" si="3"/>
        <v>0.32</v>
      </c>
      <c r="J163" s="100"/>
      <c r="K163" s="114"/>
    </row>
    <row r="164" spans="1:12" ht="31.5" hidden="1" x14ac:dyDescent="0.25">
      <c r="A164" s="113">
        <v>189</v>
      </c>
      <c r="B164" s="107" t="s">
        <v>298</v>
      </c>
      <c r="C164" s="107" t="s">
        <v>300</v>
      </c>
      <c r="D164" s="99" t="s">
        <v>109</v>
      </c>
      <c r="E164" s="111" t="s">
        <v>91</v>
      </c>
      <c r="F164" s="100">
        <v>8</v>
      </c>
      <c r="G164" s="106">
        <v>50</v>
      </c>
      <c r="H164" s="105">
        <v>17</v>
      </c>
      <c r="I164" s="102">
        <f t="shared" si="3"/>
        <v>0.34</v>
      </c>
      <c r="J164" s="100"/>
      <c r="K164" s="114"/>
    </row>
    <row r="165" spans="1:12" ht="31.5" hidden="1" x14ac:dyDescent="0.25">
      <c r="A165" s="113">
        <v>190</v>
      </c>
      <c r="B165" s="107" t="s">
        <v>299</v>
      </c>
      <c r="C165" s="107" t="s">
        <v>272</v>
      </c>
      <c r="D165" s="99" t="s">
        <v>14</v>
      </c>
      <c r="E165" s="111" t="s">
        <v>91</v>
      </c>
      <c r="F165" s="100">
        <v>8</v>
      </c>
      <c r="G165" s="106">
        <v>50</v>
      </c>
      <c r="H165" s="105">
        <v>18</v>
      </c>
      <c r="I165" s="102">
        <f t="shared" si="3"/>
        <v>0.36</v>
      </c>
      <c r="J165" s="100"/>
      <c r="K165" s="114"/>
    </row>
    <row r="166" spans="1:12" s="125" customFormat="1" ht="31.5" hidden="1" x14ac:dyDescent="0.25">
      <c r="A166" s="142">
        <v>191</v>
      </c>
      <c r="B166" s="134" t="s">
        <v>301</v>
      </c>
      <c r="C166" s="107" t="s">
        <v>304</v>
      </c>
      <c r="D166" s="123" t="s">
        <v>79</v>
      </c>
      <c r="E166" s="122" t="s">
        <v>152</v>
      </c>
      <c r="F166" s="106">
        <v>6</v>
      </c>
      <c r="G166" s="106">
        <v>100</v>
      </c>
      <c r="H166" s="105">
        <v>91</v>
      </c>
      <c r="I166" s="102">
        <f t="shared" si="3"/>
        <v>0.91</v>
      </c>
      <c r="J166" s="100" t="s">
        <v>19</v>
      </c>
      <c r="K166" s="124"/>
    </row>
    <row r="167" spans="1:12" s="125" customFormat="1" ht="31.5" hidden="1" x14ac:dyDescent="0.25">
      <c r="A167" s="142">
        <v>192</v>
      </c>
      <c r="B167" s="134" t="s">
        <v>115</v>
      </c>
      <c r="C167" s="107" t="s">
        <v>305</v>
      </c>
      <c r="D167" s="99" t="s">
        <v>24</v>
      </c>
      <c r="E167" s="122" t="s">
        <v>152</v>
      </c>
      <c r="F167" s="106">
        <v>6</v>
      </c>
      <c r="G167" s="106">
        <v>100</v>
      </c>
      <c r="H167" s="105">
        <v>81</v>
      </c>
      <c r="I167" s="102">
        <f t="shared" si="3"/>
        <v>0.81</v>
      </c>
      <c r="J167" s="100" t="s">
        <v>19</v>
      </c>
      <c r="K167" s="118"/>
      <c r="L167" s="89"/>
    </row>
    <row r="168" spans="1:12" s="125" customFormat="1" ht="31.5" hidden="1" x14ac:dyDescent="0.25">
      <c r="A168" s="142">
        <v>193</v>
      </c>
      <c r="B168" s="134" t="s">
        <v>302</v>
      </c>
      <c r="C168" s="107" t="s">
        <v>305</v>
      </c>
      <c r="D168" s="99" t="s">
        <v>24</v>
      </c>
      <c r="E168" s="122" t="s">
        <v>152</v>
      </c>
      <c r="F168" s="106">
        <v>6</v>
      </c>
      <c r="G168" s="106">
        <v>100</v>
      </c>
      <c r="H168" s="105">
        <v>60</v>
      </c>
      <c r="I168" s="102">
        <f t="shared" si="3"/>
        <v>0.6</v>
      </c>
      <c r="J168" s="100" t="s">
        <v>71</v>
      </c>
      <c r="K168" s="124"/>
    </row>
    <row r="169" spans="1:12" s="125" customFormat="1" ht="31.5" hidden="1" x14ac:dyDescent="0.25">
      <c r="A169" s="142">
        <v>194</v>
      </c>
      <c r="B169" s="134" t="s">
        <v>303</v>
      </c>
      <c r="C169" s="107" t="s">
        <v>306</v>
      </c>
      <c r="D169" s="99" t="s">
        <v>13</v>
      </c>
      <c r="E169" s="122" t="s">
        <v>152</v>
      </c>
      <c r="F169" s="106">
        <v>6</v>
      </c>
      <c r="G169" s="106">
        <v>100</v>
      </c>
      <c r="H169" s="105">
        <v>57</v>
      </c>
      <c r="I169" s="102">
        <f t="shared" ref="I169:I177" si="4">H169/G169</f>
        <v>0.56999999999999995</v>
      </c>
      <c r="J169" s="100" t="s">
        <v>71</v>
      </c>
      <c r="K169" s="124"/>
    </row>
    <row r="170" spans="1:12" s="125" customFormat="1" ht="31.5" hidden="1" x14ac:dyDescent="0.25">
      <c r="A170" s="142">
        <v>195</v>
      </c>
      <c r="B170" s="134" t="s">
        <v>114</v>
      </c>
      <c r="C170" s="107" t="s">
        <v>307</v>
      </c>
      <c r="D170" s="123" t="s">
        <v>14</v>
      </c>
      <c r="E170" s="122" t="s">
        <v>152</v>
      </c>
      <c r="F170" s="106">
        <v>6</v>
      </c>
      <c r="G170" s="106">
        <v>100</v>
      </c>
      <c r="H170" s="105">
        <v>56</v>
      </c>
      <c r="I170" s="102">
        <f t="shared" si="4"/>
        <v>0.56000000000000005</v>
      </c>
      <c r="J170" s="100" t="s">
        <v>71</v>
      </c>
      <c r="K170" s="126"/>
      <c r="L170" s="127"/>
    </row>
    <row r="171" spans="1:12" s="125" customFormat="1" ht="31.5" hidden="1" x14ac:dyDescent="0.25">
      <c r="A171" s="142">
        <v>196</v>
      </c>
      <c r="B171" s="134" t="s">
        <v>308</v>
      </c>
      <c r="C171" s="107" t="s">
        <v>305</v>
      </c>
      <c r="D171" s="99" t="s">
        <v>24</v>
      </c>
      <c r="E171" s="122" t="s">
        <v>152</v>
      </c>
      <c r="F171" s="106">
        <v>7</v>
      </c>
      <c r="G171" s="106">
        <v>100</v>
      </c>
      <c r="H171" s="105">
        <v>81</v>
      </c>
      <c r="I171" s="102">
        <f t="shared" si="4"/>
        <v>0.81</v>
      </c>
      <c r="J171" s="100" t="s">
        <v>19</v>
      </c>
      <c r="K171" s="124"/>
    </row>
    <row r="172" spans="1:12" s="125" customFormat="1" ht="31.5" hidden="1" x14ac:dyDescent="0.25">
      <c r="A172" s="142">
        <v>197</v>
      </c>
      <c r="B172" s="134" t="s">
        <v>309</v>
      </c>
      <c r="C172" s="107" t="s">
        <v>312</v>
      </c>
      <c r="D172" s="110" t="s">
        <v>12</v>
      </c>
      <c r="E172" s="122" t="s">
        <v>152</v>
      </c>
      <c r="F172" s="106">
        <v>7</v>
      </c>
      <c r="G172" s="106">
        <v>100</v>
      </c>
      <c r="H172" s="105">
        <v>67</v>
      </c>
      <c r="I172" s="102">
        <f t="shared" si="4"/>
        <v>0.67</v>
      </c>
      <c r="J172" s="100" t="s">
        <v>71</v>
      </c>
      <c r="K172" s="124"/>
    </row>
    <row r="173" spans="1:12" s="125" customFormat="1" ht="31.5" hidden="1" x14ac:dyDescent="0.25">
      <c r="A173" s="142">
        <v>198</v>
      </c>
      <c r="B173" s="134" t="s">
        <v>310</v>
      </c>
      <c r="C173" s="107" t="s">
        <v>305</v>
      </c>
      <c r="D173" s="99" t="s">
        <v>24</v>
      </c>
      <c r="E173" s="122" t="s">
        <v>152</v>
      </c>
      <c r="F173" s="106">
        <v>7</v>
      </c>
      <c r="G173" s="106">
        <v>100</v>
      </c>
      <c r="H173" s="105">
        <v>58</v>
      </c>
      <c r="I173" s="102">
        <f t="shared" si="4"/>
        <v>0.57999999999999996</v>
      </c>
      <c r="J173" s="100" t="s">
        <v>71</v>
      </c>
      <c r="K173" s="124"/>
    </row>
    <row r="174" spans="1:12" s="125" customFormat="1" ht="31.5" hidden="1" x14ac:dyDescent="0.25">
      <c r="A174" s="142">
        <v>199</v>
      </c>
      <c r="B174" s="134" t="s">
        <v>311</v>
      </c>
      <c r="C174" s="107" t="s">
        <v>307</v>
      </c>
      <c r="D174" s="110" t="s">
        <v>14</v>
      </c>
      <c r="E174" s="122" t="s">
        <v>152</v>
      </c>
      <c r="F174" s="106">
        <v>7</v>
      </c>
      <c r="G174" s="106">
        <v>100</v>
      </c>
      <c r="H174" s="105">
        <v>52</v>
      </c>
      <c r="I174" s="102">
        <f t="shared" si="4"/>
        <v>0.52</v>
      </c>
      <c r="J174" s="100" t="s">
        <v>71</v>
      </c>
      <c r="K174" s="118"/>
      <c r="L174" s="89"/>
    </row>
    <row r="175" spans="1:12" s="125" customFormat="1" ht="31.5" hidden="1" x14ac:dyDescent="0.25">
      <c r="A175" s="142">
        <v>200</v>
      </c>
      <c r="B175" s="134" t="s">
        <v>313</v>
      </c>
      <c r="C175" s="107" t="s">
        <v>316</v>
      </c>
      <c r="D175" s="110" t="s">
        <v>109</v>
      </c>
      <c r="E175" s="122" t="s">
        <v>152</v>
      </c>
      <c r="F175" s="106">
        <v>8</v>
      </c>
      <c r="G175" s="106">
        <v>100</v>
      </c>
      <c r="H175" s="105">
        <v>61</v>
      </c>
      <c r="I175" s="102">
        <f t="shared" si="4"/>
        <v>0.61</v>
      </c>
      <c r="J175" s="100" t="s">
        <v>17</v>
      </c>
      <c r="K175" s="124"/>
    </row>
    <row r="176" spans="1:12" s="125" customFormat="1" ht="31.5" hidden="1" x14ac:dyDescent="0.25">
      <c r="A176" s="121">
        <v>201</v>
      </c>
      <c r="B176" s="107" t="s">
        <v>314</v>
      </c>
      <c r="C176" s="107" t="s">
        <v>312</v>
      </c>
      <c r="D176" s="110" t="s">
        <v>12</v>
      </c>
      <c r="E176" s="122" t="s">
        <v>152</v>
      </c>
      <c r="F176" s="106">
        <v>8</v>
      </c>
      <c r="G176" s="106">
        <v>100</v>
      </c>
      <c r="H176" s="105">
        <v>37</v>
      </c>
      <c r="I176" s="102">
        <f t="shared" si="4"/>
        <v>0.37</v>
      </c>
      <c r="J176" s="100"/>
      <c r="K176" s="124"/>
    </row>
    <row r="177" spans="1:12" s="125" customFormat="1" ht="31.5" hidden="1" x14ac:dyDescent="0.25">
      <c r="A177" s="121">
        <v>202</v>
      </c>
      <c r="B177" s="107" t="s">
        <v>315</v>
      </c>
      <c r="C177" s="107" t="s">
        <v>316</v>
      </c>
      <c r="D177" s="123" t="s">
        <v>109</v>
      </c>
      <c r="E177" s="122" t="s">
        <v>152</v>
      </c>
      <c r="F177" s="106">
        <v>8</v>
      </c>
      <c r="G177" s="106">
        <v>100</v>
      </c>
      <c r="H177" s="105">
        <v>33</v>
      </c>
      <c r="I177" s="102">
        <f t="shared" si="4"/>
        <v>0.33</v>
      </c>
      <c r="J177" s="100"/>
      <c r="K177" s="128"/>
      <c r="L177" s="129"/>
    </row>
    <row r="178" spans="1:12" s="125" customFormat="1" ht="31.5" hidden="1" x14ac:dyDescent="0.25">
      <c r="A178" s="121">
        <v>203</v>
      </c>
      <c r="B178" s="107" t="s">
        <v>351</v>
      </c>
      <c r="C178" s="107" t="s">
        <v>378</v>
      </c>
      <c r="D178" s="110" t="s">
        <v>392</v>
      </c>
      <c r="E178" s="122" t="s">
        <v>56</v>
      </c>
      <c r="F178" s="106">
        <v>4</v>
      </c>
      <c r="G178" s="123"/>
      <c r="H178" s="105">
        <v>16.899999999999999</v>
      </c>
      <c r="I178" s="102">
        <v>0.25</v>
      </c>
      <c r="J178" s="100"/>
      <c r="K178" s="124"/>
    </row>
    <row r="179" spans="1:12" s="125" customFormat="1" ht="31.5" hidden="1" x14ac:dyDescent="0.25">
      <c r="A179" s="142">
        <v>204</v>
      </c>
      <c r="B179" s="138" t="s">
        <v>352</v>
      </c>
      <c r="C179" s="107" t="s">
        <v>379</v>
      </c>
      <c r="D179" s="110" t="s">
        <v>109</v>
      </c>
      <c r="E179" s="122" t="s">
        <v>56</v>
      </c>
      <c r="F179" s="106">
        <v>4</v>
      </c>
      <c r="G179" s="123"/>
      <c r="H179" s="105">
        <v>27.5</v>
      </c>
      <c r="I179" s="102">
        <v>0.4</v>
      </c>
      <c r="J179" s="100" t="s">
        <v>71</v>
      </c>
      <c r="K179" s="124"/>
    </row>
    <row r="180" spans="1:12" s="125" customFormat="1" ht="31.5" hidden="1" x14ac:dyDescent="0.25">
      <c r="A180" s="142">
        <v>205</v>
      </c>
      <c r="B180" s="138" t="s">
        <v>353</v>
      </c>
      <c r="C180" s="107" t="s">
        <v>379</v>
      </c>
      <c r="D180" s="123" t="s">
        <v>109</v>
      </c>
      <c r="E180" s="122" t="s">
        <v>56</v>
      </c>
      <c r="F180" s="106">
        <v>4</v>
      </c>
      <c r="G180" s="123"/>
      <c r="H180" s="105">
        <v>38.9</v>
      </c>
      <c r="I180" s="102">
        <v>0.56999999999999995</v>
      </c>
      <c r="J180" s="100" t="s">
        <v>18</v>
      </c>
      <c r="K180" s="118"/>
      <c r="L180" s="89"/>
    </row>
    <row r="181" spans="1:12" s="125" customFormat="1" ht="31.5" hidden="1" x14ac:dyDescent="0.25">
      <c r="A181" s="121">
        <v>206</v>
      </c>
      <c r="B181" s="138" t="s">
        <v>354</v>
      </c>
      <c r="C181" s="107" t="s">
        <v>379</v>
      </c>
      <c r="D181" s="123" t="s">
        <v>109</v>
      </c>
      <c r="E181" s="122" t="s">
        <v>56</v>
      </c>
      <c r="F181" s="106">
        <v>4</v>
      </c>
      <c r="G181" s="123"/>
      <c r="H181" s="105">
        <v>21.9</v>
      </c>
      <c r="I181" s="102">
        <v>0.32</v>
      </c>
      <c r="J181" s="100"/>
      <c r="K181" s="124"/>
    </row>
    <row r="182" spans="1:12" ht="31.5" hidden="1" x14ac:dyDescent="0.25">
      <c r="A182" s="14">
        <v>207</v>
      </c>
      <c r="B182" s="138" t="s">
        <v>355</v>
      </c>
      <c r="C182" s="107" t="s">
        <v>380</v>
      </c>
      <c r="D182" s="119" t="s">
        <v>16</v>
      </c>
      <c r="E182" s="122" t="s">
        <v>56</v>
      </c>
      <c r="F182" s="106">
        <v>4</v>
      </c>
      <c r="G182" s="119"/>
      <c r="H182" s="105">
        <v>20.9</v>
      </c>
      <c r="I182" s="102">
        <v>0.31</v>
      </c>
      <c r="J182" s="100"/>
    </row>
    <row r="183" spans="1:12" ht="31.5" hidden="1" x14ac:dyDescent="0.25">
      <c r="A183" s="14">
        <v>208</v>
      </c>
      <c r="B183" s="138" t="s">
        <v>356</v>
      </c>
      <c r="C183" s="107" t="s">
        <v>380</v>
      </c>
      <c r="D183" s="14" t="s">
        <v>16</v>
      </c>
      <c r="E183" s="122" t="s">
        <v>56</v>
      </c>
      <c r="F183" s="106">
        <v>4</v>
      </c>
      <c r="G183" s="14"/>
      <c r="H183" s="105">
        <v>15</v>
      </c>
      <c r="I183" s="102">
        <v>0.22</v>
      </c>
      <c r="J183" s="100"/>
      <c r="K183" s="88"/>
      <c r="L183" s="88"/>
    </row>
    <row r="184" spans="1:12" ht="31.5" hidden="1" x14ac:dyDescent="0.25">
      <c r="A184" s="14">
        <v>209</v>
      </c>
      <c r="B184" s="138" t="s">
        <v>357</v>
      </c>
      <c r="C184" s="107" t="s">
        <v>381</v>
      </c>
      <c r="D184" s="14" t="s">
        <v>14</v>
      </c>
      <c r="E184" s="122" t="s">
        <v>56</v>
      </c>
      <c r="F184" s="106">
        <v>4</v>
      </c>
      <c r="G184" s="14"/>
      <c r="H184" s="105">
        <v>21.5</v>
      </c>
      <c r="I184" s="102">
        <v>0.32</v>
      </c>
      <c r="J184" s="100"/>
    </row>
    <row r="185" spans="1:12" ht="31.5" hidden="1" x14ac:dyDescent="0.25">
      <c r="A185" s="14">
        <v>210</v>
      </c>
      <c r="B185" s="138" t="s">
        <v>358</v>
      </c>
      <c r="C185" s="107" t="s">
        <v>382</v>
      </c>
      <c r="D185" s="14" t="s">
        <v>14</v>
      </c>
      <c r="E185" s="122" t="s">
        <v>56</v>
      </c>
      <c r="F185" s="106">
        <v>4</v>
      </c>
      <c r="G185" s="14"/>
      <c r="H185" s="105">
        <v>17</v>
      </c>
      <c r="I185" s="102">
        <v>0.25</v>
      </c>
      <c r="J185" s="100"/>
    </row>
    <row r="186" spans="1:12" ht="31.5" hidden="1" x14ac:dyDescent="0.25">
      <c r="A186" s="14">
        <v>211</v>
      </c>
      <c r="B186" s="138" t="s">
        <v>359</v>
      </c>
      <c r="C186" s="107" t="s">
        <v>383</v>
      </c>
      <c r="D186" s="14" t="s">
        <v>14</v>
      </c>
      <c r="E186" s="122" t="s">
        <v>56</v>
      </c>
      <c r="F186" s="106">
        <v>4</v>
      </c>
      <c r="G186" s="14"/>
      <c r="H186" s="105">
        <v>18.399999999999999</v>
      </c>
      <c r="I186" s="102">
        <v>0.27</v>
      </c>
      <c r="J186" s="100"/>
      <c r="K186" s="87"/>
      <c r="L186" s="87"/>
    </row>
    <row r="187" spans="1:12" ht="31.5" hidden="1" x14ac:dyDescent="0.25">
      <c r="A187" s="14">
        <v>212</v>
      </c>
      <c r="B187" s="138" t="s">
        <v>360</v>
      </c>
      <c r="C187" s="107" t="s">
        <v>384</v>
      </c>
      <c r="D187" s="99" t="s">
        <v>13</v>
      </c>
      <c r="E187" s="122" t="s">
        <v>56</v>
      </c>
      <c r="F187" s="106">
        <v>4</v>
      </c>
      <c r="G187" s="14"/>
      <c r="H187" s="105">
        <v>25.8</v>
      </c>
      <c r="I187" s="102">
        <v>0.38</v>
      </c>
      <c r="J187" s="100"/>
    </row>
    <row r="188" spans="1:12" ht="31.5" hidden="1" x14ac:dyDescent="0.25">
      <c r="A188" s="141">
        <v>213</v>
      </c>
      <c r="B188" s="138" t="s">
        <v>361</v>
      </c>
      <c r="C188" s="107" t="s">
        <v>384</v>
      </c>
      <c r="D188" s="99" t="s">
        <v>13</v>
      </c>
      <c r="E188" s="122" t="s">
        <v>56</v>
      </c>
      <c r="F188" s="106">
        <v>4</v>
      </c>
      <c r="G188" s="14"/>
      <c r="H188" s="105">
        <v>29.5</v>
      </c>
      <c r="I188" s="102">
        <v>0.43</v>
      </c>
      <c r="J188" s="100" t="s">
        <v>71</v>
      </c>
    </row>
    <row r="189" spans="1:12" ht="31.5" hidden="1" x14ac:dyDescent="0.25">
      <c r="A189" s="141">
        <v>214</v>
      </c>
      <c r="B189" s="134" t="s">
        <v>362</v>
      </c>
      <c r="C189" s="107" t="s">
        <v>384</v>
      </c>
      <c r="D189" s="99" t="s">
        <v>13</v>
      </c>
      <c r="E189" s="122" t="s">
        <v>56</v>
      </c>
      <c r="F189" s="106">
        <v>4</v>
      </c>
      <c r="G189" s="14"/>
      <c r="H189" s="105">
        <v>42.5</v>
      </c>
      <c r="I189" s="102">
        <v>0.63</v>
      </c>
      <c r="J189" s="100" t="s">
        <v>17</v>
      </c>
    </row>
    <row r="190" spans="1:12" ht="31.5" hidden="1" x14ac:dyDescent="0.25">
      <c r="A190" s="14">
        <v>215</v>
      </c>
      <c r="B190" s="107" t="s">
        <v>363</v>
      </c>
      <c r="C190" s="107" t="s">
        <v>385</v>
      </c>
      <c r="D190" s="99" t="s">
        <v>13</v>
      </c>
      <c r="E190" s="122" t="s">
        <v>56</v>
      </c>
      <c r="F190" s="106">
        <v>4</v>
      </c>
      <c r="G190" s="14"/>
      <c r="H190" s="105">
        <v>18.399999999999999</v>
      </c>
      <c r="I190" s="102">
        <v>0.27</v>
      </c>
      <c r="J190" s="100"/>
    </row>
    <row r="191" spans="1:12" ht="31.5" hidden="1" x14ac:dyDescent="0.25">
      <c r="A191" s="14">
        <v>216</v>
      </c>
      <c r="B191" s="107" t="s">
        <v>364</v>
      </c>
      <c r="C191" s="107" t="s">
        <v>385</v>
      </c>
      <c r="D191" s="99" t="s">
        <v>13</v>
      </c>
      <c r="E191" s="122" t="s">
        <v>56</v>
      </c>
      <c r="F191" s="106">
        <v>4</v>
      </c>
      <c r="G191" s="14"/>
      <c r="H191" s="105">
        <v>17.399999999999999</v>
      </c>
      <c r="I191" s="102">
        <v>0.26</v>
      </c>
      <c r="J191" s="100"/>
    </row>
    <row r="192" spans="1:12" ht="31.5" hidden="1" x14ac:dyDescent="0.25">
      <c r="A192" s="14">
        <v>217</v>
      </c>
      <c r="B192" s="107" t="s">
        <v>365</v>
      </c>
      <c r="C192" s="107" t="s">
        <v>385</v>
      </c>
      <c r="D192" s="99" t="s">
        <v>13</v>
      </c>
      <c r="E192" s="122" t="s">
        <v>56</v>
      </c>
      <c r="F192" s="106">
        <v>4</v>
      </c>
      <c r="G192" s="14"/>
      <c r="H192" s="105">
        <v>24</v>
      </c>
      <c r="I192" s="102">
        <v>0.35</v>
      </c>
      <c r="J192" s="100"/>
      <c r="K192" s="88"/>
      <c r="L192" s="88"/>
    </row>
    <row r="193" spans="1:12" ht="31.5" hidden="1" x14ac:dyDescent="0.25">
      <c r="A193" s="141">
        <v>218</v>
      </c>
      <c r="B193" s="134" t="s">
        <v>366</v>
      </c>
      <c r="C193" s="107" t="s">
        <v>384</v>
      </c>
      <c r="D193" s="99" t="s">
        <v>13</v>
      </c>
      <c r="E193" s="122" t="s">
        <v>56</v>
      </c>
      <c r="F193" s="106">
        <v>4</v>
      </c>
      <c r="G193" s="14"/>
      <c r="H193" s="105">
        <v>42.9</v>
      </c>
      <c r="I193" s="102">
        <v>0.63</v>
      </c>
      <c r="J193" s="100" t="s">
        <v>17</v>
      </c>
    </row>
    <row r="194" spans="1:12" ht="31.5" hidden="1" x14ac:dyDescent="0.25">
      <c r="A194" s="141">
        <v>219</v>
      </c>
      <c r="B194" s="134" t="s">
        <v>367</v>
      </c>
      <c r="C194" s="107" t="s">
        <v>386</v>
      </c>
      <c r="D194" s="99" t="s">
        <v>24</v>
      </c>
      <c r="E194" s="122" t="s">
        <v>56</v>
      </c>
      <c r="F194" s="106">
        <v>4</v>
      </c>
      <c r="G194" s="14"/>
      <c r="H194" s="105">
        <v>37</v>
      </c>
      <c r="I194" s="102">
        <v>0.54</v>
      </c>
      <c r="J194" s="100" t="s">
        <v>18</v>
      </c>
    </row>
    <row r="195" spans="1:12" ht="31.5" hidden="1" x14ac:dyDescent="0.25">
      <c r="A195" s="141">
        <v>220</v>
      </c>
      <c r="B195" s="134" t="s">
        <v>368</v>
      </c>
      <c r="C195" s="107" t="s">
        <v>387</v>
      </c>
      <c r="D195" s="99" t="s">
        <v>24</v>
      </c>
      <c r="E195" s="122" t="s">
        <v>56</v>
      </c>
      <c r="F195" s="106">
        <v>4</v>
      </c>
      <c r="G195" s="14"/>
      <c r="H195" s="105">
        <v>37</v>
      </c>
      <c r="I195" s="102">
        <v>0.54</v>
      </c>
      <c r="J195" s="100" t="s">
        <v>18</v>
      </c>
      <c r="K195" s="88"/>
      <c r="L195" s="88"/>
    </row>
    <row r="196" spans="1:12" ht="31.5" hidden="1" x14ac:dyDescent="0.25">
      <c r="A196" s="141">
        <v>221</v>
      </c>
      <c r="B196" s="138" t="s">
        <v>369</v>
      </c>
      <c r="C196" s="107" t="s">
        <v>387</v>
      </c>
      <c r="D196" s="99" t="s">
        <v>24</v>
      </c>
      <c r="E196" s="122" t="s">
        <v>56</v>
      </c>
      <c r="F196" s="106">
        <v>4</v>
      </c>
      <c r="G196" s="14"/>
      <c r="H196" s="105">
        <v>33.4</v>
      </c>
      <c r="I196" s="102">
        <v>0.49</v>
      </c>
      <c r="J196" s="100" t="s">
        <v>71</v>
      </c>
    </row>
    <row r="197" spans="1:12" ht="31.5" hidden="1" x14ac:dyDescent="0.25">
      <c r="A197" s="141">
        <v>222</v>
      </c>
      <c r="B197" s="134" t="s">
        <v>370</v>
      </c>
      <c r="C197" s="107" t="s">
        <v>388</v>
      </c>
      <c r="D197" s="99" t="s">
        <v>24</v>
      </c>
      <c r="E197" s="122" t="s">
        <v>56</v>
      </c>
      <c r="F197" s="106">
        <v>4</v>
      </c>
      <c r="G197" s="14"/>
      <c r="H197" s="105">
        <v>35.4</v>
      </c>
      <c r="I197" s="102">
        <v>0.52</v>
      </c>
      <c r="J197" s="100" t="s">
        <v>18</v>
      </c>
    </row>
    <row r="198" spans="1:12" ht="31.5" hidden="1" x14ac:dyDescent="0.25">
      <c r="A198" s="141">
        <v>223</v>
      </c>
      <c r="B198" s="138" t="s">
        <v>371</v>
      </c>
      <c r="C198" s="107" t="s">
        <v>387</v>
      </c>
      <c r="D198" s="99" t="s">
        <v>24</v>
      </c>
      <c r="E198" s="122" t="s">
        <v>56</v>
      </c>
      <c r="F198" s="106">
        <v>4</v>
      </c>
      <c r="G198" s="14"/>
      <c r="H198" s="105">
        <v>30</v>
      </c>
      <c r="I198" s="102">
        <v>0.44</v>
      </c>
      <c r="J198" s="100" t="s">
        <v>71</v>
      </c>
    </row>
    <row r="199" spans="1:12" ht="31.5" hidden="1" x14ac:dyDescent="0.25">
      <c r="A199" s="141">
        <v>224</v>
      </c>
      <c r="B199" s="138" t="s">
        <v>372</v>
      </c>
      <c r="C199" s="99" t="s">
        <v>387</v>
      </c>
      <c r="D199" s="99" t="s">
        <v>24</v>
      </c>
      <c r="E199" s="122" t="s">
        <v>56</v>
      </c>
      <c r="F199" s="106">
        <v>4</v>
      </c>
      <c r="G199" s="14"/>
      <c r="H199" s="105">
        <v>32</v>
      </c>
      <c r="I199" s="102">
        <v>0.47</v>
      </c>
      <c r="J199" s="100" t="s">
        <v>71</v>
      </c>
      <c r="K199" s="90"/>
      <c r="L199" s="90"/>
    </row>
    <row r="200" spans="1:12" ht="31.5" hidden="1" x14ac:dyDescent="0.25">
      <c r="A200" s="141">
        <v>225</v>
      </c>
      <c r="B200" s="138" t="s">
        <v>373</v>
      </c>
      <c r="C200" s="99" t="s">
        <v>387</v>
      </c>
      <c r="D200" s="99" t="s">
        <v>24</v>
      </c>
      <c r="E200" s="122" t="s">
        <v>56</v>
      </c>
      <c r="F200" s="106">
        <v>4</v>
      </c>
      <c r="G200" s="14"/>
      <c r="H200" s="105">
        <v>31.9</v>
      </c>
      <c r="I200" s="102">
        <v>0.47</v>
      </c>
      <c r="J200" s="100" t="s">
        <v>71</v>
      </c>
    </row>
    <row r="201" spans="1:12" ht="31.5" hidden="1" x14ac:dyDescent="0.25">
      <c r="A201" s="141">
        <v>226</v>
      </c>
      <c r="B201" s="136" t="s">
        <v>374</v>
      </c>
      <c r="C201" s="99" t="s">
        <v>387</v>
      </c>
      <c r="D201" s="99" t="s">
        <v>24</v>
      </c>
      <c r="E201" s="122" t="s">
        <v>56</v>
      </c>
      <c r="F201" s="106">
        <v>4</v>
      </c>
      <c r="G201" s="14"/>
      <c r="H201" s="105">
        <v>34.4</v>
      </c>
      <c r="I201" s="102">
        <v>0.51</v>
      </c>
      <c r="J201" s="100" t="s">
        <v>18</v>
      </c>
      <c r="K201" s="96"/>
      <c r="L201" s="96"/>
    </row>
    <row r="202" spans="1:12" ht="31.5" hidden="1" x14ac:dyDescent="0.25">
      <c r="A202" s="141">
        <v>227</v>
      </c>
      <c r="B202" s="136" t="s">
        <v>375</v>
      </c>
      <c r="C202" s="99" t="s">
        <v>389</v>
      </c>
      <c r="D202" s="99" t="s">
        <v>12</v>
      </c>
      <c r="E202" s="122" t="s">
        <v>56</v>
      </c>
      <c r="F202" s="106">
        <v>4</v>
      </c>
      <c r="G202" s="14"/>
      <c r="H202" s="105">
        <v>38</v>
      </c>
      <c r="I202" s="102">
        <v>0.56000000000000005</v>
      </c>
      <c r="J202" s="100" t="s">
        <v>18</v>
      </c>
    </row>
    <row r="203" spans="1:12" ht="37.5" hidden="1" customHeight="1" x14ac:dyDescent="0.25">
      <c r="A203" s="14">
        <v>228</v>
      </c>
      <c r="B203" s="99" t="s">
        <v>376</v>
      </c>
      <c r="C203" s="99" t="s">
        <v>390</v>
      </c>
      <c r="D203" s="99" t="s">
        <v>12</v>
      </c>
      <c r="E203" s="122" t="s">
        <v>56</v>
      </c>
      <c r="F203" s="106">
        <v>4</v>
      </c>
      <c r="G203" s="14"/>
      <c r="H203" s="105">
        <v>20</v>
      </c>
      <c r="I203" s="102">
        <v>0.28999999999999998</v>
      </c>
      <c r="J203" s="100"/>
    </row>
    <row r="204" spans="1:12" ht="43.5" hidden="1" customHeight="1" x14ac:dyDescent="0.25">
      <c r="A204" s="14">
        <v>229</v>
      </c>
      <c r="B204" s="99" t="s">
        <v>377</v>
      </c>
      <c r="C204" s="99" t="s">
        <v>391</v>
      </c>
      <c r="D204" s="99" t="s">
        <v>72</v>
      </c>
      <c r="E204" s="122" t="s">
        <v>56</v>
      </c>
      <c r="F204" s="106">
        <v>4</v>
      </c>
      <c r="G204" s="14"/>
      <c r="H204" s="105">
        <v>13</v>
      </c>
      <c r="I204" s="102">
        <v>0.19</v>
      </c>
      <c r="J204" s="100"/>
    </row>
    <row r="205" spans="1:12" ht="38.25" customHeight="1" x14ac:dyDescent="0.25">
      <c r="A205" s="139">
        <v>230</v>
      </c>
      <c r="B205" s="136" t="s">
        <v>393</v>
      </c>
      <c r="C205" s="99" t="s">
        <v>413</v>
      </c>
      <c r="D205" s="99" t="s">
        <v>13</v>
      </c>
      <c r="E205" s="14" t="s">
        <v>91</v>
      </c>
      <c r="F205" s="106">
        <v>4</v>
      </c>
      <c r="G205" s="14"/>
      <c r="H205" s="105">
        <v>50.5</v>
      </c>
      <c r="I205" s="102">
        <v>0.62</v>
      </c>
      <c r="J205" s="100" t="s">
        <v>18</v>
      </c>
      <c r="K205" s="87"/>
      <c r="L205" s="87"/>
    </row>
    <row r="206" spans="1:12" ht="31.5" customHeight="1" x14ac:dyDescent="0.25">
      <c r="A206" s="139">
        <v>231</v>
      </c>
      <c r="B206" s="137" t="s">
        <v>394</v>
      </c>
      <c r="C206" s="99" t="s">
        <v>414</v>
      </c>
      <c r="D206" s="99" t="s">
        <v>13</v>
      </c>
      <c r="E206" s="14" t="s">
        <v>91</v>
      </c>
      <c r="F206" s="106">
        <v>4</v>
      </c>
      <c r="G206" s="14"/>
      <c r="H206" s="105">
        <v>51.5</v>
      </c>
      <c r="I206" s="102">
        <v>0.63</v>
      </c>
      <c r="J206" s="100" t="s">
        <v>17</v>
      </c>
    </row>
    <row r="207" spans="1:12" ht="30" hidden="1" customHeight="1" x14ac:dyDescent="0.25">
      <c r="A207" s="139">
        <v>232</v>
      </c>
      <c r="B207" s="134" t="s">
        <v>395</v>
      </c>
      <c r="C207" s="99" t="s">
        <v>414</v>
      </c>
      <c r="D207" s="99" t="s">
        <v>13</v>
      </c>
      <c r="E207" s="14" t="s">
        <v>91</v>
      </c>
      <c r="F207" s="106">
        <v>4</v>
      </c>
      <c r="G207" s="14"/>
      <c r="H207" s="105">
        <v>38</v>
      </c>
      <c r="I207" s="102">
        <v>0.46</v>
      </c>
      <c r="J207" s="100" t="s">
        <v>71</v>
      </c>
    </row>
    <row r="208" spans="1:12" ht="31.5" x14ac:dyDescent="0.25">
      <c r="A208" s="139">
        <v>233</v>
      </c>
      <c r="B208" s="136" t="s">
        <v>396</v>
      </c>
      <c r="C208" s="99" t="s">
        <v>414</v>
      </c>
      <c r="D208" s="99" t="s">
        <v>13</v>
      </c>
      <c r="E208" s="14" t="s">
        <v>91</v>
      </c>
      <c r="F208" s="106">
        <v>4</v>
      </c>
      <c r="G208" s="14"/>
      <c r="H208" s="105">
        <v>52</v>
      </c>
      <c r="I208" s="102">
        <v>0.63</v>
      </c>
      <c r="J208" s="100" t="s">
        <v>17</v>
      </c>
    </row>
    <row r="209" spans="1:12" ht="31.5" hidden="1" x14ac:dyDescent="0.25">
      <c r="A209" s="14">
        <v>234</v>
      </c>
      <c r="B209" s="99" t="s">
        <v>397</v>
      </c>
      <c r="C209" s="99" t="s">
        <v>415</v>
      </c>
      <c r="D209" s="14" t="s">
        <v>15</v>
      </c>
      <c r="E209" s="14" t="s">
        <v>91</v>
      </c>
      <c r="F209" s="106">
        <v>4</v>
      </c>
      <c r="G209" s="14"/>
      <c r="H209" s="105">
        <v>27.5</v>
      </c>
      <c r="I209" s="102">
        <v>0.34</v>
      </c>
      <c r="J209" s="105"/>
    </row>
    <row r="210" spans="1:12" ht="31.5" x14ac:dyDescent="0.25">
      <c r="A210" s="139">
        <v>235</v>
      </c>
      <c r="B210" s="136" t="s">
        <v>398</v>
      </c>
      <c r="C210" s="99" t="s">
        <v>416</v>
      </c>
      <c r="D210" s="14" t="s">
        <v>109</v>
      </c>
      <c r="E210" s="14" t="s">
        <v>91</v>
      </c>
      <c r="F210" s="106">
        <v>4</v>
      </c>
      <c r="G210" s="14"/>
      <c r="H210" s="105">
        <v>50.5</v>
      </c>
      <c r="I210" s="102">
        <v>0.62</v>
      </c>
      <c r="J210" s="100" t="s">
        <v>18</v>
      </c>
    </row>
    <row r="211" spans="1:12" ht="31.5" hidden="1" x14ac:dyDescent="0.25">
      <c r="A211" s="139">
        <v>236</v>
      </c>
      <c r="B211" s="134" t="s">
        <v>399</v>
      </c>
      <c r="C211" s="99" t="s">
        <v>417</v>
      </c>
      <c r="D211" s="14" t="s">
        <v>14</v>
      </c>
      <c r="E211" s="14" t="s">
        <v>91</v>
      </c>
      <c r="F211" s="106">
        <v>4</v>
      </c>
      <c r="G211" s="14"/>
      <c r="H211" s="105">
        <v>40</v>
      </c>
      <c r="I211" s="102">
        <v>0.49</v>
      </c>
      <c r="J211" s="100" t="s">
        <v>71</v>
      </c>
      <c r="K211" s="87"/>
      <c r="L211" s="87"/>
    </row>
    <row r="212" spans="1:12" ht="31.5" hidden="1" x14ac:dyDescent="0.25">
      <c r="A212" s="14">
        <v>237</v>
      </c>
      <c r="B212" s="99" t="s">
        <v>400</v>
      </c>
      <c r="C212" s="99" t="s">
        <v>417</v>
      </c>
      <c r="D212" s="14" t="s">
        <v>14</v>
      </c>
      <c r="E212" s="14" t="s">
        <v>91</v>
      </c>
      <c r="F212" s="106">
        <v>4</v>
      </c>
      <c r="G212" s="14"/>
      <c r="H212" s="105">
        <v>29</v>
      </c>
      <c r="I212" s="102">
        <v>0.35</v>
      </c>
      <c r="J212" s="105"/>
    </row>
    <row r="213" spans="1:12" ht="31.5" hidden="1" x14ac:dyDescent="0.25">
      <c r="A213" s="139">
        <v>238</v>
      </c>
      <c r="B213" s="134" t="s">
        <v>401</v>
      </c>
      <c r="C213" s="99" t="s">
        <v>417</v>
      </c>
      <c r="D213" s="14" t="s">
        <v>14</v>
      </c>
      <c r="E213" s="14" t="s">
        <v>91</v>
      </c>
      <c r="F213" s="106">
        <v>4</v>
      </c>
      <c r="G213" s="14"/>
      <c r="H213" s="105">
        <v>46</v>
      </c>
      <c r="I213" s="102">
        <v>0.56000000000000005</v>
      </c>
      <c r="J213" s="100" t="s">
        <v>71</v>
      </c>
    </row>
    <row r="214" spans="1:12" ht="31.5" x14ac:dyDescent="0.25">
      <c r="A214" s="139">
        <v>239</v>
      </c>
      <c r="B214" s="136" t="s">
        <v>402</v>
      </c>
      <c r="C214" s="99" t="s">
        <v>418</v>
      </c>
      <c r="D214" s="99" t="s">
        <v>24</v>
      </c>
      <c r="E214" s="14" t="s">
        <v>91</v>
      </c>
      <c r="F214" s="106">
        <v>4</v>
      </c>
      <c r="G214" s="14"/>
      <c r="H214" s="105">
        <v>66</v>
      </c>
      <c r="I214" s="102">
        <v>0.8</v>
      </c>
      <c r="J214" s="100" t="s">
        <v>19</v>
      </c>
    </row>
    <row r="215" spans="1:12" ht="31.5" x14ac:dyDescent="0.25">
      <c r="A215" s="139">
        <v>240</v>
      </c>
      <c r="B215" s="136" t="s">
        <v>403</v>
      </c>
      <c r="C215" s="99" t="s">
        <v>418</v>
      </c>
      <c r="D215" s="99" t="s">
        <v>24</v>
      </c>
      <c r="E215" s="14" t="s">
        <v>91</v>
      </c>
      <c r="F215" s="106">
        <v>4</v>
      </c>
      <c r="G215" s="14"/>
      <c r="H215" s="105">
        <v>55.5</v>
      </c>
      <c r="I215" s="102">
        <v>0.68</v>
      </c>
      <c r="J215" s="100" t="s">
        <v>17</v>
      </c>
    </row>
    <row r="216" spans="1:12" ht="31.5" x14ac:dyDescent="0.25">
      <c r="A216" s="139">
        <v>241</v>
      </c>
      <c r="B216" s="136" t="s">
        <v>404</v>
      </c>
      <c r="C216" s="99" t="s">
        <v>418</v>
      </c>
      <c r="D216" s="99" t="s">
        <v>24</v>
      </c>
      <c r="E216" s="14" t="s">
        <v>91</v>
      </c>
      <c r="F216" s="106">
        <v>4</v>
      </c>
      <c r="G216" s="14"/>
      <c r="H216" s="105">
        <v>52</v>
      </c>
      <c r="I216" s="102">
        <v>0.63</v>
      </c>
      <c r="J216" s="100" t="s">
        <v>17</v>
      </c>
    </row>
    <row r="217" spans="1:12" ht="31.5" hidden="1" x14ac:dyDescent="0.25">
      <c r="A217" s="139">
        <v>242</v>
      </c>
      <c r="B217" s="134" t="s">
        <v>405</v>
      </c>
      <c r="C217" s="99" t="s">
        <v>418</v>
      </c>
      <c r="D217" s="99" t="s">
        <v>24</v>
      </c>
      <c r="E217" s="14" t="s">
        <v>91</v>
      </c>
      <c r="F217" s="106">
        <v>4</v>
      </c>
      <c r="G217" s="14"/>
      <c r="H217" s="105">
        <v>43.5</v>
      </c>
      <c r="I217" s="102">
        <v>0.53</v>
      </c>
      <c r="J217" s="100" t="s">
        <v>71</v>
      </c>
      <c r="K217" s="87"/>
      <c r="L217" s="87"/>
    </row>
    <row r="218" spans="1:12" ht="31.5" hidden="1" x14ac:dyDescent="0.25">
      <c r="A218" s="139">
        <v>243</v>
      </c>
      <c r="B218" s="134" t="s">
        <v>406</v>
      </c>
      <c r="C218" s="99" t="s">
        <v>418</v>
      </c>
      <c r="D218" s="99" t="s">
        <v>24</v>
      </c>
      <c r="E218" s="14" t="s">
        <v>91</v>
      </c>
      <c r="F218" s="106">
        <v>4</v>
      </c>
      <c r="G218" s="14"/>
      <c r="H218" s="105">
        <v>46.5</v>
      </c>
      <c r="I218" s="102">
        <v>0.56999999999999995</v>
      </c>
      <c r="J218" s="100" t="s">
        <v>71</v>
      </c>
    </row>
    <row r="219" spans="1:12" ht="31.5" hidden="1" x14ac:dyDescent="0.25">
      <c r="A219" s="139">
        <v>244</v>
      </c>
      <c r="B219" s="134" t="s">
        <v>407</v>
      </c>
      <c r="C219" s="99" t="s">
        <v>419</v>
      </c>
      <c r="D219" s="99" t="s">
        <v>24</v>
      </c>
      <c r="E219" s="14" t="s">
        <v>91</v>
      </c>
      <c r="F219" s="106">
        <v>4</v>
      </c>
      <c r="G219" s="14"/>
      <c r="H219" s="105">
        <v>46</v>
      </c>
      <c r="I219" s="102">
        <v>0.56000000000000005</v>
      </c>
      <c r="J219" s="100" t="s">
        <v>71</v>
      </c>
      <c r="K219" s="95"/>
      <c r="L219" s="95"/>
    </row>
    <row r="220" spans="1:12" ht="31.5" hidden="1" x14ac:dyDescent="0.25">
      <c r="A220" s="139">
        <v>245</v>
      </c>
      <c r="B220" s="134" t="s">
        <v>408</v>
      </c>
      <c r="C220" s="99" t="s">
        <v>420</v>
      </c>
      <c r="D220" s="14" t="s">
        <v>12</v>
      </c>
      <c r="E220" s="14" t="s">
        <v>91</v>
      </c>
      <c r="F220" s="106">
        <v>4</v>
      </c>
      <c r="G220" s="14"/>
      <c r="H220" s="105">
        <v>46</v>
      </c>
      <c r="I220" s="102">
        <v>0.56000000000000005</v>
      </c>
      <c r="J220" s="100" t="s">
        <v>71</v>
      </c>
    </row>
    <row r="221" spans="1:12" ht="31.5" hidden="1" x14ac:dyDescent="0.25">
      <c r="A221" s="14">
        <v>246</v>
      </c>
      <c r="B221" s="99" t="s">
        <v>409</v>
      </c>
      <c r="C221" s="99" t="s">
        <v>420</v>
      </c>
      <c r="D221" s="14" t="s">
        <v>12</v>
      </c>
      <c r="E221" s="14" t="s">
        <v>91</v>
      </c>
      <c r="F221" s="106">
        <v>4</v>
      </c>
      <c r="G221" s="14"/>
      <c r="H221" s="105">
        <v>31</v>
      </c>
      <c r="I221" s="102">
        <v>0.38</v>
      </c>
      <c r="J221" s="105"/>
    </row>
    <row r="222" spans="1:12" ht="31.5" x14ac:dyDescent="0.25">
      <c r="A222" s="139">
        <v>247</v>
      </c>
      <c r="B222" s="137" t="s">
        <v>410</v>
      </c>
      <c r="C222" s="99" t="s">
        <v>420</v>
      </c>
      <c r="D222" s="14" t="s">
        <v>12</v>
      </c>
      <c r="E222" s="14" t="s">
        <v>91</v>
      </c>
      <c r="F222" s="106">
        <v>4</v>
      </c>
      <c r="G222" s="14"/>
      <c r="H222" s="105">
        <v>53</v>
      </c>
      <c r="I222" s="102">
        <v>0.65</v>
      </c>
      <c r="J222" s="100" t="s">
        <v>17</v>
      </c>
      <c r="K222" s="87"/>
      <c r="L222" s="87"/>
    </row>
    <row r="223" spans="1:12" ht="31.5" x14ac:dyDescent="0.25">
      <c r="A223" s="139">
        <v>248</v>
      </c>
      <c r="B223" s="136" t="s">
        <v>411</v>
      </c>
      <c r="C223" s="99" t="s">
        <v>421</v>
      </c>
      <c r="D223" s="14" t="s">
        <v>79</v>
      </c>
      <c r="E223" s="14" t="s">
        <v>91</v>
      </c>
      <c r="F223" s="106">
        <v>4</v>
      </c>
      <c r="G223" s="14"/>
      <c r="H223" s="105">
        <v>53</v>
      </c>
      <c r="I223" s="102">
        <v>0.65</v>
      </c>
      <c r="J223" s="100" t="s">
        <v>17</v>
      </c>
    </row>
    <row r="224" spans="1:12" ht="31.5" hidden="1" x14ac:dyDescent="0.25">
      <c r="A224" s="139">
        <v>249</v>
      </c>
      <c r="B224" s="134" t="s">
        <v>412</v>
      </c>
      <c r="C224" s="99" t="s">
        <v>422</v>
      </c>
      <c r="D224" s="14" t="s">
        <v>16</v>
      </c>
      <c r="E224" s="14" t="s">
        <v>91</v>
      </c>
      <c r="F224" s="106">
        <v>4</v>
      </c>
      <c r="G224" s="14"/>
      <c r="H224" s="105">
        <v>32.5</v>
      </c>
      <c r="I224" s="102">
        <v>0.4</v>
      </c>
      <c r="J224" s="100" t="s">
        <v>71</v>
      </c>
    </row>
    <row r="225" spans="1:12" ht="31.5" hidden="1" x14ac:dyDescent="0.25">
      <c r="A225" s="139">
        <v>250</v>
      </c>
      <c r="B225" s="136" t="s">
        <v>423</v>
      </c>
      <c r="C225" s="99" t="s">
        <v>432</v>
      </c>
      <c r="D225" s="99" t="s">
        <v>13</v>
      </c>
      <c r="E225" s="14" t="s">
        <v>94</v>
      </c>
      <c r="F225" s="106">
        <v>4</v>
      </c>
      <c r="G225" s="14"/>
      <c r="H225" s="105">
        <v>29.85</v>
      </c>
      <c r="I225" s="102">
        <v>0.61</v>
      </c>
      <c r="J225" s="100" t="s">
        <v>17</v>
      </c>
    </row>
    <row r="226" spans="1:12" ht="31.5" hidden="1" x14ac:dyDescent="0.25">
      <c r="A226" s="141">
        <v>251</v>
      </c>
      <c r="B226" s="136" t="s">
        <v>424</v>
      </c>
      <c r="C226" s="99" t="s">
        <v>432</v>
      </c>
      <c r="D226" s="99" t="s">
        <v>13</v>
      </c>
      <c r="E226" s="14" t="s">
        <v>94</v>
      </c>
      <c r="F226" s="106">
        <v>4</v>
      </c>
      <c r="G226" s="14"/>
      <c r="H226" s="105">
        <v>21.25</v>
      </c>
      <c r="I226" s="102">
        <v>0.43</v>
      </c>
      <c r="J226" s="100" t="s">
        <v>71</v>
      </c>
    </row>
    <row r="227" spans="1:12" ht="31.5" hidden="1" x14ac:dyDescent="0.25">
      <c r="A227" s="14">
        <v>252</v>
      </c>
      <c r="B227" s="99" t="s">
        <v>425</v>
      </c>
      <c r="C227" s="99" t="s">
        <v>433</v>
      </c>
      <c r="D227" s="99" t="s">
        <v>13</v>
      </c>
      <c r="E227" s="14" t="s">
        <v>94</v>
      </c>
      <c r="F227" s="106">
        <v>4</v>
      </c>
      <c r="G227" s="14"/>
      <c r="H227" s="105">
        <v>18.5</v>
      </c>
      <c r="I227" s="102">
        <v>0.38</v>
      </c>
      <c r="J227" s="105"/>
    </row>
    <row r="228" spans="1:12" ht="31.5" hidden="1" x14ac:dyDescent="0.25">
      <c r="A228" s="14">
        <v>253</v>
      </c>
      <c r="B228" s="99" t="s">
        <v>364</v>
      </c>
      <c r="C228" s="99" t="s">
        <v>433</v>
      </c>
      <c r="D228" s="99" t="s">
        <v>13</v>
      </c>
      <c r="E228" s="14" t="s">
        <v>94</v>
      </c>
      <c r="F228" s="106">
        <v>4</v>
      </c>
      <c r="G228" s="14"/>
      <c r="H228" s="105">
        <v>17.75</v>
      </c>
      <c r="I228" s="102">
        <v>0.36</v>
      </c>
      <c r="J228" s="105"/>
    </row>
    <row r="229" spans="1:12" ht="31.5" hidden="1" x14ac:dyDescent="0.25">
      <c r="A229" s="14">
        <v>254</v>
      </c>
      <c r="B229" s="99" t="s">
        <v>426</v>
      </c>
      <c r="C229" s="99" t="s">
        <v>433</v>
      </c>
      <c r="D229" s="99" t="s">
        <v>13</v>
      </c>
      <c r="E229" s="14" t="s">
        <v>94</v>
      </c>
      <c r="F229" s="106">
        <v>4</v>
      </c>
      <c r="G229" s="14"/>
      <c r="H229" s="105">
        <v>9.6</v>
      </c>
      <c r="I229" s="102">
        <v>0.2</v>
      </c>
      <c r="J229" s="105"/>
    </row>
    <row r="230" spans="1:12" ht="31.5" hidden="1" x14ac:dyDescent="0.25">
      <c r="A230" s="14">
        <v>255</v>
      </c>
      <c r="B230" s="99" t="s">
        <v>369</v>
      </c>
      <c r="C230" s="99" t="s">
        <v>434</v>
      </c>
      <c r="D230" s="99" t="s">
        <v>24</v>
      </c>
      <c r="E230" s="14" t="s">
        <v>94</v>
      </c>
      <c r="F230" s="106">
        <v>4</v>
      </c>
      <c r="G230" s="14"/>
      <c r="H230" s="105">
        <v>13.25</v>
      </c>
      <c r="I230" s="102">
        <v>0.27</v>
      </c>
      <c r="J230" s="105"/>
    </row>
    <row r="231" spans="1:12" ht="31.5" hidden="1" x14ac:dyDescent="0.25">
      <c r="A231" s="14">
        <v>256</v>
      </c>
      <c r="B231" s="99" t="s">
        <v>371</v>
      </c>
      <c r="C231" s="99" t="s">
        <v>434</v>
      </c>
      <c r="D231" s="99" t="s">
        <v>24</v>
      </c>
      <c r="E231" s="14" t="s">
        <v>94</v>
      </c>
      <c r="F231" s="106">
        <v>4</v>
      </c>
      <c r="G231" s="14"/>
      <c r="H231" s="105">
        <v>18</v>
      </c>
      <c r="I231" s="102">
        <v>0.37</v>
      </c>
      <c r="J231" s="105"/>
    </row>
    <row r="232" spans="1:12" ht="31.5" hidden="1" x14ac:dyDescent="0.25">
      <c r="A232" s="14">
        <v>257</v>
      </c>
      <c r="B232" s="99" t="s">
        <v>427</v>
      </c>
      <c r="C232" s="99" t="s">
        <v>434</v>
      </c>
      <c r="D232" s="99" t="s">
        <v>24</v>
      </c>
      <c r="E232" s="14" t="s">
        <v>94</v>
      </c>
      <c r="F232" s="106">
        <v>4</v>
      </c>
      <c r="G232" s="14"/>
      <c r="H232" s="105">
        <v>12.6</v>
      </c>
      <c r="I232" s="102">
        <v>0.26</v>
      </c>
      <c r="J232" s="105"/>
    </row>
    <row r="233" spans="1:12" ht="31.5" hidden="1" x14ac:dyDescent="0.25">
      <c r="A233" s="139">
        <v>258</v>
      </c>
      <c r="B233" s="136" t="s">
        <v>368</v>
      </c>
      <c r="C233" s="99" t="s">
        <v>434</v>
      </c>
      <c r="D233" s="99" t="s">
        <v>24</v>
      </c>
      <c r="E233" s="14" t="s">
        <v>94</v>
      </c>
      <c r="F233" s="106">
        <v>4</v>
      </c>
      <c r="G233" s="14"/>
      <c r="H233" s="105">
        <v>24.85</v>
      </c>
      <c r="I233" s="102">
        <v>0.51</v>
      </c>
      <c r="J233" s="100" t="s">
        <v>18</v>
      </c>
    </row>
    <row r="234" spans="1:12" ht="31.5" hidden="1" x14ac:dyDescent="0.25">
      <c r="A234" s="14">
        <v>259</v>
      </c>
      <c r="B234" s="99" t="s">
        <v>428</v>
      </c>
      <c r="C234" s="99" t="s">
        <v>435</v>
      </c>
      <c r="D234" s="99" t="s">
        <v>24</v>
      </c>
      <c r="E234" s="14" t="s">
        <v>94</v>
      </c>
      <c r="F234" s="106">
        <v>4</v>
      </c>
      <c r="G234" s="14"/>
      <c r="H234" s="105">
        <v>1</v>
      </c>
      <c r="I234" s="102">
        <v>0.02</v>
      </c>
      <c r="J234" s="105"/>
    </row>
    <row r="235" spans="1:12" ht="31.5" hidden="1" x14ac:dyDescent="0.25">
      <c r="A235" s="14">
        <v>260</v>
      </c>
      <c r="B235" s="99" t="s">
        <v>429</v>
      </c>
      <c r="C235" s="99" t="s">
        <v>436</v>
      </c>
      <c r="D235" s="14" t="s">
        <v>392</v>
      </c>
      <c r="E235" s="14" t="s">
        <v>94</v>
      </c>
      <c r="F235" s="106">
        <v>4</v>
      </c>
      <c r="G235" s="14"/>
      <c r="H235" s="105">
        <v>7.1</v>
      </c>
      <c r="I235" s="102">
        <v>0.15</v>
      </c>
      <c r="J235" s="105"/>
    </row>
    <row r="236" spans="1:12" ht="31.5" hidden="1" x14ac:dyDescent="0.25">
      <c r="A236" s="139">
        <v>261</v>
      </c>
      <c r="B236" s="136" t="s">
        <v>430</v>
      </c>
      <c r="C236" s="99" t="s">
        <v>437</v>
      </c>
      <c r="D236" s="14" t="s">
        <v>109</v>
      </c>
      <c r="E236" s="14" t="s">
        <v>94</v>
      </c>
      <c r="F236" s="106">
        <v>4</v>
      </c>
      <c r="G236" s="14"/>
      <c r="H236" s="105">
        <v>29.25</v>
      </c>
      <c r="I236" s="102">
        <v>0.6</v>
      </c>
      <c r="J236" s="100" t="s">
        <v>17</v>
      </c>
    </row>
    <row r="237" spans="1:12" ht="31.5" hidden="1" x14ac:dyDescent="0.25">
      <c r="A237" s="14">
        <v>262</v>
      </c>
      <c r="B237" s="99" t="s">
        <v>353</v>
      </c>
      <c r="C237" s="99" t="s">
        <v>437</v>
      </c>
      <c r="D237" s="14" t="s">
        <v>109</v>
      </c>
      <c r="E237" s="14" t="s">
        <v>94</v>
      </c>
      <c r="F237" s="106">
        <v>4</v>
      </c>
      <c r="G237" s="14"/>
      <c r="H237" s="105">
        <v>19.25</v>
      </c>
      <c r="I237" s="102">
        <v>0.39</v>
      </c>
      <c r="J237" s="105"/>
      <c r="K237" s="87"/>
      <c r="L237" s="87"/>
    </row>
    <row r="238" spans="1:12" ht="31.5" hidden="1" x14ac:dyDescent="0.25">
      <c r="A238" s="139">
        <v>263</v>
      </c>
      <c r="B238" s="136" t="s">
        <v>357</v>
      </c>
      <c r="C238" s="99" t="s">
        <v>438</v>
      </c>
      <c r="D238" s="14" t="s">
        <v>14</v>
      </c>
      <c r="E238" s="14" t="s">
        <v>94</v>
      </c>
      <c r="F238" s="106">
        <v>4</v>
      </c>
      <c r="G238" s="14"/>
      <c r="H238" s="105">
        <v>26.85</v>
      </c>
      <c r="I238" s="102">
        <v>0.55000000000000004</v>
      </c>
      <c r="J238" s="100" t="s">
        <v>18</v>
      </c>
      <c r="K238" s="88"/>
      <c r="L238" s="88"/>
    </row>
    <row r="239" spans="1:12" ht="31.5" hidden="1" x14ac:dyDescent="0.25">
      <c r="A239" s="141">
        <v>264</v>
      </c>
      <c r="B239" s="136" t="s">
        <v>358</v>
      </c>
      <c r="C239" s="99" t="s">
        <v>438</v>
      </c>
      <c r="D239" s="14" t="s">
        <v>14</v>
      </c>
      <c r="E239" s="14" t="s">
        <v>94</v>
      </c>
      <c r="F239" s="106">
        <v>4</v>
      </c>
      <c r="G239" s="14"/>
      <c r="H239" s="105">
        <v>21</v>
      </c>
      <c r="I239" s="102">
        <v>0.43</v>
      </c>
      <c r="J239" s="100" t="s">
        <v>71</v>
      </c>
    </row>
    <row r="240" spans="1:12" ht="47.25" hidden="1" x14ac:dyDescent="0.25">
      <c r="A240" s="14">
        <v>265</v>
      </c>
      <c r="B240" s="99" t="s">
        <v>431</v>
      </c>
      <c r="C240" s="99" t="s">
        <v>439</v>
      </c>
      <c r="D240" s="14" t="s">
        <v>72</v>
      </c>
      <c r="E240" s="14" t="s">
        <v>94</v>
      </c>
      <c r="F240" s="106">
        <v>4</v>
      </c>
      <c r="G240" s="14"/>
      <c r="H240" s="105">
        <v>10.72</v>
      </c>
      <c r="I240" s="102">
        <v>0.22</v>
      </c>
      <c r="J240" s="105"/>
    </row>
    <row r="241" spans="1:12" hidden="1" x14ac:dyDescent="0.25">
      <c r="A241" s="14">
        <v>266</v>
      </c>
      <c r="B241" s="14"/>
      <c r="C241" s="14"/>
      <c r="D241" s="14"/>
      <c r="E241" s="14"/>
      <c r="F241" s="106"/>
      <c r="G241" s="14"/>
      <c r="H241" s="105"/>
      <c r="I241" s="105"/>
      <c r="J241" s="105"/>
      <c r="K241" s="87"/>
      <c r="L241" s="87"/>
    </row>
    <row r="242" spans="1:12" hidden="1" x14ac:dyDescent="0.25">
      <c r="A242" s="14">
        <v>267</v>
      </c>
      <c r="B242" s="14"/>
      <c r="C242" s="14"/>
      <c r="D242" s="14"/>
      <c r="E242" s="14"/>
      <c r="F242" s="106"/>
      <c r="G242" s="14"/>
      <c r="H242" s="105"/>
      <c r="I242" s="105"/>
      <c r="J242" s="105"/>
      <c r="K242" s="87"/>
      <c r="L242" s="87"/>
    </row>
    <row r="243" spans="1:12" hidden="1" x14ac:dyDescent="0.25">
      <c r="A243" s="14">
        <v>268</v>
      </c>
      <c r="B243" s="14"/>
      <c r="C243" s="14"/>
      <c r="D243" s="14"/>
      <c r="E243" s="14"/>
      <c r="F243" s="106"/>
      <c r="G243" s="14"/>
      <c r="H243" s="105"/>
      <c r="I243" s="105"/>
      <c r="J243" s="105"/>
      <c r="K243" s="88"/>
      <c r="L243" s="88"/>
    </row>
    <row r="244" spans="1:12" hidden="1" x14ac:dyDescent="0.25">
      <c r="A244" s="14">
        <v>269</v>
      </c>
      <c r="B244" s="14"/>
      <c r="C244" s="14"/>
      <c r="D244" s="14"/>
      <c r="E244" s="14"/>
      <c r="F244" s="106"/>
      <c r="G244" s="14"/>
      <c r="H244" s="105"/>
      <c r="I244" s="105"/>
      <c r="J244" s="105"/>
    </row>
    <row r="245" spans="1:12" hidden="1" x14ac:dyDescent="0.25">
      <c r="A245" s="14">
        <v>270</v>
      </c>
      <c r="B245" s="14"/>
      <c r="C245" s="14"/>
      <c r="D245" s="14"/>
      <c r="E245" s="14"/>
      <c r="F245" s="106"/>
      <c r="G245" s="14"/>
      <c r="H245" s="105"/>
      <c r="I245" s="105"/>
      <c r="J245" s="105"/>
    </row>
    <row r="246" spans="1:12" hidden="1" x14ac:dyDescent="0.25">
      <c r="A246" s="14">
        <v>271</v>
      </c>
      <c r="B246" s="14"/>
      <c r="C246" s="14"/>
      <c r="D246" s="14"/>
      <c r="E246" s="14"/>
      <c r="F246" s="106"/>
      <c r="G246" s="14"/>
      <c r="H246" s="105"/>
      <c r="I246" s="105"/>
      <c r="J246" s="105"/>
    </row>
    <row r="247" spans="1:12" hidden="1" x14ac:dyDescent="0.25">
      <c r="A247" s="14">
        <v>272</v>
      </c>
      <c r="B247" s="14"/>
      <c r="C247" s="14"/>
      <c r="D247" s="14"/>
      <c r="E247" s="14"/>
      <c r="F247" s="106"/>
      <c r="G247" s="14"/>
      <c r="H247" s="105"/>
      <c r="I247" s="105"/>
      <c r="J247" s="105"/>
    </row>
    <row r="248" spans="1:12" hidden="1" x14ac:dyDescent="0.25">
      <c r="A248" s="14">
        <v>273</v>
      </c>
      <c r="B248" s="14"/>
      <c r="C248" s="14"/>
      <c r="D248" s="14"/>
      <c r="E248" s="14"/>
      <c r="F248" s="106"/>
      <c r="G248" s="14"/>
      <c r="H248" s="105"/>
      <c r="I248" s="105"/>
      <c r="J248" s="105"/>
    </row>
    <row r="249" spans="1:12" hidden="1" x14ac:dyDescent="0.25">
      <c r="A249" s="14">
        <v>274</v>
      </c>
      <c r="B249" s="14"/>
      <c r="C249" s="14"/>
      <c r="D249" s="14"/>
      <c r="E249" s="14"/>
      <c r="F249" s="106"/>
      <c r="G249" s="14"/>
      <c r="H249" s="105"/>
      <c r="I249" s="105"/>
      <c r="J249" s="105"/>
      <c r="K249" s="88"/>
      <c r="L249" s="88"/>
    </row>
    <row r="250" spans="1:12" hidden="1" x14ac:dyDescent="0.25">
      <c r="A250" s="14">
        <v>275</v>
      </c>
      <c r="B250" s="14"/>
      <c r="C250" s="14"/>
      <c r="D250" s="14"/>
      <c r="E250" s="14"/>
      <c r="F250" s="106"/>
      <c r="G250" s="14"/>
      <c r="H250" s="105"/>
      <c r="I250" s="105"/>
      <c r="J250" s="105"/>
      <c r="K250" s="87"/>
      <c r="L250" s="87"/>
    </row>
    <row r="251" spans="1:12" hidden="1" x14ac:dyDescent="0.25">
      <c r="A251" s="14">
        <v>276</v>
      </c>
      <c r="B251" s="14"/>
      <c r="C251" s="14"/>
      <c r="D251" s="14"/>
      <c r="E251" s="14"/>
      <c r="F251" s="106"/>
      <c r="G251" s="14"/>
      <c r="H251" s="105"/>
      <c r="I251" s="105"/>
      <c r="J251" s="105"/>
      <c r="K251" s="90"/>
      <c r="L251" s="90"/>
    </row>
    <row r="252" spans="1:12" hidden="1" x14ac:dyDescent="0.25">
      <c r="A252" s="14">
        <v>277</v>
      </c>
      <c r="B252" s="14"/>
      <c r="C252" s="14"/>
      <c r="D252" s="14"/>
      <c r="E252" s="14"/>
      <c r="F252" s="106"/>
      <c r="G252" s="14"/>
      <c r="H252" s="105"/>
      <c r="I252" s="105"/>
      <c r="J252" s="105"/>
    </row>
    <row r="253" spans="1:12" ht="38.25" hidden="1" customHeight="1" x14ac:dyDescent="0.25">
      <c r="A253" s="14">
        <v>278</v>
      </c>
      <c r="B253" s="14"/>
      <c r="C253" s="14"/>
      <c r="D253" s="14"/>
      <c r="E253" s="14"/>
      <c r="F253" s="106"/>
      <c r="G253" s="14"/>
      <c r="H253" s="105"/>
      <c r="I253" s="105"/>
      <c r="J253" s="105"/>
    </row>
    <row r="254" spans="1:12" hidden="1" x14ac:dyDescent="0.25">
      <c r="A254" s="14">
        <v>279</v>
      </c>
      <c r="B254" s="14"/>
      <c r="C254" s="14"/>
      <c r="D254" s="14"/>
      <c r="E254" s="14"/>
      <c r="F254" s="106"/>
      <c r="G254" s="14"/>
      <c r="H254" s="105"/>
      <c r="I254" s="105"/>
      <c r="J254" s="105"/>
    </row>
    <row r="255" spans="1:12" hidden="1" x14ac:dyDescent="0.25">
      <c r="A255" s="14">
        <v>280</v>
      </c>
      <c r="B255" s="14"/>
      <c r="C255" s="14"/>
      <c r="D255" s="14"/>
      <c r="E255" s="14"/>
      <c r="F255" s="106"/>
      <c r="G255" s="14"/>
      <c r="H255" s="105"/>
      <c r="I255" s="105"/>
      <c r="J255" s="105"/>
    </row>
    <row r="256" spans="1:12" hidden="1" x14ac:dyDescent="0.25">
      <c r="A256" s="14">
        <v>281</v>
      </c>
      <c r="B256" s="14"/>
      <c r="C256" s="14"/>
      <c r="D256" s="14"/>
      <c r="E256" s="14"/>
      <c r="F256" s="106"/>
      <c r="G256" s="14"/>
      <c r="H256" s="105"/>
      <c r="I256" s="105"/>
      <c r="J256" s="105"/>
    </row>
    <row r="257" spans="1:12" hidden="1" x14ac:dyDescent="0.25">
      <c r="A257" s="14">
        <v>282</v>
      </c>
      <c r="B257" s="14"/>
      <c r="C257" s="14"/>
      <c r="D257" s="14"/>
      <c r="E257" s="14"/>
      <c r="F257" s="106"/>
      <c r="G257" s="14"/>
      <c r="H257" s="105"/>
      <c r="I257" s="105"/>
      <c r="J257" s="105"/>
    </row>
    <row r="258" spans="1:12" ht="30.75" hidden="1" customHeight="1" x14ac:dyDescent="0.25">
      <c r="A258" s="14">
        <v>283</v>
      </c>
      <c r="B258" s="14"/>
      <c r="C258" s="14"/>
      <c r="D258" s="14"/>
      <c r="E258" s="14"/>
      <c r="F258" s="106"/>
      <c r="G258" s="14"/>
      <c r="H258" s="14"/>
      <c r="I258" s="94"/>
      <c r="J258" s="14"/>
      <c r="K258" s="91"/>
      <c r="L258" s="91"/>
    </row>
    <row r="259" spans="1:12" ht="30.75" hidden="1" customHeight="1" x14ac:dyDescent="0.25">
      <c r="A259" s="14">
        <v>284</v>
      </c>
      <c r="B259" s="14"/>
      <c r="C259" s="14"/>
      <c r="D259" s="14"/>
      <c r="E259" s="14"/>
      <c r="F259" s="106"/>
      <c r="G259" s="14"/>
      <c r="H259" s="14"/>
      <c r="I259" s="94"/>
      <c r="J259" s="14"/>
      <c r="K259" s="88"/>
      <c r="L259" s="88"/>
    </row>
    <row r="260" spans="1:12" hidden="1" x14ac:dyDescent="0.25">
      <c r="A260" s="14">
        <v>285</v>
      </c>
      <c r="B260" s="14"/>
      <c r="C260" s="14"/>
      <c r="D260" s="14"/>
      <c r="E260" s="14"/>
      <c r="F260" s="106"/>
      <c r="G260" s="14"/>
      <c r="H260" s="14"/>
      <c r="I260" s="94"/>
      <c r="J260" s="14"/>
      <c r="K260" s="88"/>
      <c r="L260" s="88"/>
    </row>
    <row r="261" spans="1:12" ht="38.25" hidden="1" customHeight="1" x14ac:dyDescent="0.25">
      <c r="A261" s="14">
        <v>286</v>
      </c>
      <c r="B261" s="14"/>
      <c r="C261" s="14"/>
      <c r="D261" s="14"/>
      <c r="E261" s="14"/>
      <c r="F261" s="106"/>
      <c r="G261" s="14"/>
      <c r="H261" s="14"/>
      <c r="I261" s="94"/>
      <c r="J261" s="14"/>
    </row>
    <row r="262" spans="1:12" ht="57" hidden="1" customHeight="1" x14ac:dyDescent="0.25">
      <c r="A262" s="14">
        <v>287</v>
      </c>
      <c r="B262" s="14"/>
      <c r="C262" s="14"/>
      <c r="D262" s="14"/>
      <c r="E262" s="14"/>
      <c r="F262" s="106"/>
      <c r="G262" s="14"/>
      <c r="H262" s="14"/>
      <c r="I262" s="94"/>
      <c r="J262" s="14"/>
    </row>
    <row r="263" spans="1:12" ht="57" hidden="1" customHeight="1" x14ac:dyDescent="0.25">
      <c r="A263" s="14">
        <v>288</v>
      </c>
      <c r="B263" s="14"/>
      <c r="C263" s="14"/>
      <c r="D263" s="14"/>
      <c r="E263" s="14"/>
      <c r="F263" s="106"/>
      <c r="G263" s="14"/>
      <c r="H263" s="14"/>
      <c r="I263" s="94"/>
      <c r="J263" s="14"/>
    </row>
    <row r="264" spans="1:12" hidden="1" x14ac:dyDescent="0.25">
      <c r="A264" s="14">
        <v>289</v>
      </c>
      <c r="B264" s="14"/>
      <c r="C264" s="14"/>
      <c r="D264" s="14"/>
      <c r="E264" s="14"/>
      <c r="F264" s="106"/>
      <c r="G264" s="14"/>
      <c r="H264" s="14"/>
      <c r="I264" s="94"/>
      <c r="J264" s="14"/>
    </row>
    <row r="265" spans="1:12" hidden="1" x14ac:dyDescent="0.25">
      <c r="A265" s="14">
        <v>290</v>
      </c>
      <c r="B265" s="14"/>
      <c r="C265" s="14"/>
      <c r="D265" s="14"/>
      <c r="E265" s="14"/>
      <c r="F265" s="106"/>
      <c r="G265" s="14"/>
      <c r="H265" s="14"/>
      <c r="I265" s="94"/>
      <c r="J265" s="14"/>
    </row>
    <row r="266" spans="1:12" hidden="1" x14ac:dyDescent="0.25">
      <c r="A266" s="14">
        <v>291</v>
      </c>
      <c r="B266" s="14"/>
      <c r="C266" s="14"/>
      <c r="D266" s="14"/>
      <c r="E266" s="14"/>
      <c r="F266" s="106"/>
      <c r="G266" s="14"/>
      <c r="H266" s="14"/>
      <c r="I266" s="94"/>
      <c r="J266" s="14"/>
      <c r="K266" s="89"/>
      <c r="L266" s="89"/>
    </row>
    <row r="267" spans="1:12" hidden="1" x14ac:dyDescent="0.25">
      <c r="A267" s="14">
        <v>292</v>
      </c>
      <c r="B267" s="14"/>
      <c r="C267" s="14"/>
      <c r="D267" s="14"/>
      <c r="E267" s="14"/>
      <c r="F267" s="106"/>
      <c r="G267" s="14"/>
      <c r="H267" s="14"/>
      <c r="I267" s="94"/>
      <c r="J267" s="14"/>
    </row>
    <row r="268" spans="1:12" hidden="1" x14ac:dyDescent="0.25">
      <c r="A268" s="14">
        <v>293</v>
      </c>
      <c r="B268" s="14"/>
      <c r="C268" s="14"/>
      <c r="D268" s="14"/>
      <c r="E268" s="14"/>
      <c r="F268" s="106"/>
      <c r="G268" s="14"/>
      <c r="H268" s="14"/>
      <c r="I268" s="94"/>
      <c r="J268" s="14"/>
    </row>
    <row r="269" spans="1:12" hidden="1" x14ac:dyDescent="0.25">
      <c r="A269" s="14">
        <v>294</v>
      </c>
      <c r="B269" s="14"/>
      <c r="C269" s="14"/>
      <c r="D269" s="14"/>
      <c r="E269" s="14"/>
      <c r="F269" s="106"/>
      <c r="G269" s="14"/>
      <c r="H269" s="14"/>
      <c r="I269" s="94"/>
      <c r="J269" s="14"/>
      <c r="K269" s="88"/>
      <c r="L269" s="88"/>
    </row>
    <row r="270" spans="1:12" hidden="1" x14ac:dyDescent="0.25">
      <c r="A270" s="14">
        <v>295</v>
      </c>
      <c r="B270" s="14"/>
      <c r="C270" s="14"/>
      <c r="D270" s="14"/>
      <c r="E270" s="14"/>
      <c r="F270" s="106"/>
      <c r="G270" s="14"/>
      <c r="H270" s="14"/>
      <c r="I270" s="94"/>
      <c r="J270" s="14"/>
      <c r="K270" s="87"/>
      <c r="L270" s="87"/>
    </row>
    <row r="271" spans="1:12" hidden="1" x14ac:dyDescent="0.25">
      <c r="A271" s="14">
        <v>296</v>
      </c>
      <c r="B271" s="14"/>
      <c r="C271" s="14"/>
      <c r="D271" s="14"/>
      <c r="E271" s="14"/>
      <c r="F271" s="106"/>
      <c r="G271" s="14"/>
      <c r="H271" s="14"/>
      <c r="I271" s="94"/>
      <c r="J271" s="14"/>
    </row>
    <row r="272" spans="1:12" hidden="1" x14ac:dyDescent="0.25">
      <c r="A272" s="14">
        <v>297</v>
      </c>
      <c r="B272" s="14"/>
      <c r="C272" s="14"/>
      <c r="D272" s="14"/>
      <c r="E272" s="14"/>
      <c r="F272" s="106"/>
      <c r="G272" s="14"/>
      <c r="H272" s="14"/>
      <c r="I272" s="94"/>
      <c r="J272" s="14"/>
    </row>
    <row r="273" spans="1:12" hidden="1" x14ac:dyDescent="0.25">
      <c r="A273" s="14">
        <v>298</v>
      </c>
      <c r="B273" s="14"/>
      <c r="C273" s="14"/>
      <c r="D273" s="14"/>
      <c r="E273" s="14"/>
      <c r="F273" s="106"/>
      <c r="G273" s="14"/>
      <c r="H273" s="14"/>
      <c r="I273" s="94"/>
      <c r="J273" s="14"/>
    </row>
    <row r="274" spans="1:12" hidden="1" x14ac:dyDescent="0.25">
      <c r="A274" s="14">
        <v>299</v>
      </c>
      <c r="B274" s="14"/>
      <c r="C274" s="14"/>
      <c r="D274" s="14"/>
      <c r="E274" s="14"/>
      <c r="F274" s="106"/>
      <c r="G274" s="14"/>
      <c r="H274" s="14"/>
      <c r="I274" s="94"/>
      <c r="J274" s="14"/>
    </row>
    <row r="275" spans="1:12" hidden="1" x14ac:dyDescent="0.25">
      <c r="A275" s="14">
        <v>300</v>
      </c>
      <c r="B275" s="14"/>
      <c r="C275" s="14"/>
      <c r="D275" s="14"/>
      <c r="E275" s="14"/>
      <c r="F275" s="106"/>
      <c r="G275" s="14"/>
      <c r="H275" s="14"/>
      <c r="I275" s="94"/>
      <c r="J275" s="14"/>
    </row>
    <row r="276" spans="1:12" hidden="1" x14ac:dyDescent="0.25">
      <c r="A276" s="14">
        <v>301</v>
      </c>
      <c r="B276" s="14"/>
      <c r="C276" s="14"/>
      <c r="D276" s="14"/>
      <c r="E276" s="14"/>
      <c r="F276" s="106"/>
      <c r="G276" s="14"/>
      <c r="H276" s="14"/>
      <c r="I276" s="94"/>
      <c r="J276" s="14"/>
    </row>
    <row r="277" spans="1:12" hidden="1" x14ac:dyDescent="0.25">
      <c r="A277" s="14">
        <v>302</v>
      </c>
      <c r="B277" s="14"/>
      <c r="C277" s="14"/>
      <c r="D277" s="14"/>
      <c r="E277" s="14"/>
      <c r="F277" s="14"/>
      <c r="G277" s="14"/>
      <c r="H277" s="14"/>
      <c r="I277" s="94"/>
      <c r="J277" s="14"/>
    </row>
    <row r="278" spans="1:12" hidden="1" x14ac:dyDescent="0.25">
      <c r="A278" s="14">
        <v>303</v>
      </c>
      <c r="B278" s="14"/>
      <c r="C278" s="14"/>
      <c r="D278" s="14"/>
      <c r="E278" s="14"/>
      <c r="F278" s="14"/>
      <c r="G278" s="14"/>
      <c r="H278" s="14"/>
      <c r="I278" s="94"/>
      <c r="J278" s="14"/>
    </row>
    <row r="279" spans="1:12" hidden="1" x14ac:dyDescent="0.25">
      <c r="A279" s="14">
        <v>304</v>
      </c>
      <c r="B279" s="14"/>
      <c r="C279" s="14"/>
      <c r="D279" s="14"/>
      <c r="E279" s="14"/>
      <c r="F279" s="14"/>
      <c r="G279" s="14"/>
      <c r="H279" s="14"/>
      <c r="I279" s="94"/>
      <c r="J279" s="14"/>
    </row>
    <row r="280" spans="1:12" hidden="1" x14ac:dyDescent="0.25">
      <c r="A280" s="14">
        <v>305</v>
      </c>
      <c r="B280" s="14"/>
      <c r="C280" s="14"/>
      <c r="D280" s="14"/>
      <c r="E280" s="14"/>
      <c r="F280" s="14"/>
      <c r="G280" s="14"/>
      <c r="H280" s="14"/>
      <c r="I280" s="94"/>
      <c r="J280" s="14"/>
    </row>
    <row r="281" spans="1:12" hidden="1" x14ac:dyDescent="0.25">
      <c r="A281" s="14">
        <v>306</v>
      </c>
      <c r="B281" s="14"/>
      <c r="C281" s="14"/>
      <c r="D281" s="14"/>
      <c r="E281" s="14"/>
      <c r="F281" s="14"/>
      <c r="G281" s="14"/>
      <c r="H281" s="14"/>
      <c r="I281" s="94"/>
      <c r="J281" s="14"/>
    </row>
    <row r="282" spans="1:12" hidden="1" x14ac:dyDescent="0.25">
      <c r="A282" s="14">
        <v>307</v>
      </c>
      <c r="B282" s="14"/>
      <c r="C282" s="14"/>
      <c r="D282" s="14"/>
      <c r="E282" s="14"/>
      <c r="F282" s="14"/>
      <c r="G282" s="14"/>
      <c r="H282" s="14"/>
      <c r="I282" s="94"/>
      <c r="J282" s="14"/>
    </row>
    <row r="283" spans="1:12" hidden="1" x14ac:dyDescent="0.25">
      <c r="A283" s="14">
        <v>308</v>
      </c>
      <c r="B283" s="14"/>
      <c r="C283" s="14"/>
      <c r="D283" s="14"/>
      <c r="E283" s="14"/>
      <c r="F283" s="14"/>
      <c r="G283" s="14"/>
      <c r="H283" s="14"/>
      <c r="I283" s="94"/>
      <c r="J283" s="14"/>
    </row>
    <row r="284" spans="1:12" hidden="1" x14ac:dyDescent="0.25">
      <c r="A284" s="14">
        <v>309</v>
      </c>
      <c r="B284" s="14"/>
      <c r="C284" s="14"/>
      <c r="D284" s="14"/>
      <c r="E284" s="14"/>
      <c r="F284" s="14"/>
      <c r="G284" s="14"/>
      <c r="H284" s="14"/>
      <c r="I284" s="94"/>
      <c r="J284" s="14"/>
    </row>
    <row r="285" spans="1:12" hidden="1" x14ac:dyDescent="0.25">
      <c r="A285" s="14">
        <v>310</v>
      </c>
      <c r="B285" s="14"/>
      <c r="C285" s="14"/>
      <c r="D285" s="14"/>
      <c r="E285" s="14"/>
      <c r="F285" s="14"/>
      <c r="G285" s="14"/>
      <c r="H285" s="14"/>
      <c r="I285" s="94"/>
      <c r="J285" s="14"/>
    </row>
    <row r="286" spans="1:12" hidden="1" x14ac:dyDescent="0.25">
      <c r="A286" s="14">
        <v>311</v>
      </c>
      <c r="B286" s="14"/>
      <c r="C286" s="14"/>
      <c r="D286" s="14"/>
      <c r="E286" s="14"/>
      <c r="F286" s="14"/>
      <c r="G286" s="14"/>
      <c r="H286" s="14"/>
      <c r="I286" s="94"/>
      <c r="J286" s="14"/>
    </row>
    <row r="287" spans="1:12" hidden="1" x14ac:dyDescent="0.25">
      <c r="A287" s="14">
        <v>312</v>
      </c>
      <c r="B287" s="14"/>
      <c r="C287" s="14"/>
      <c r="D287" s="14"/>
      <c r="E287" s="14"/>
      <c r="F287" s="14"/>
      <c r="G287" s="14"/>
      <c r="H287" s="14"/>
      <c r="I287" s="94"/>
      <c r="J287" s="14"/>
      <c r="K287" s="87"/>
      <c r="L287" s="87"/>
    </row>
    <row r="288" spans="1:12" hidden="1" x14ac:dyDescent="0.25">
      <c r="A288" s="14">
        <v>313</v>
      </c>
      <c r="B288" s="14"/>
      <c r="C288" s="14"/>
      <c r="D288" s="14"/>
      <c r="E288" s="14"/>
      <c r="F288" s="14"/>
      <c r="G288" s="14"/>
      <c r="H288" s="14"/>
      <c r="I288" s="94"/>
      <c r="J288" s="14"/>
    </row>
    <row r="289" spans="1:10" hidden="1" x14ac:dyDescent="0.25">
      <c r="A289" s="14">
        <v>314</v>
      </c>
      <c r="B289" s="14"/>
      <c r="C289" s="14"/>
      <c r="D289" s="14"/>
      <c r="E289" s="14"/>
      <c r="F289" s="14"/>
      <c r="G289" s="14"/>
      <c r="H289" s="14"/>
      <c r="I289" s="94"/>
      <c r="J289" s="14"/>
    </row>
    <row r="290" spans="1:10" hidden="1" x14ac:dyDescent="0.25">
      <c r="A290" s="14">
        <v>315</v>
      </c>
      <c r="B290" s="14"/>
      <c r="C290" s="14"/>
      <c r="D290" s="14"/>
      <c r="E290" s="14"/>
      <c r="F290" s="14"/>
      <c r="G290" s="14"/>
      <c r="H290" s="14"/>
      <c r="I290" s="94"/>
      <c r="J290" s="14"/>
    </row>
    <row r="291" spans="1:10" hidden="1" x14ac:dyDescent="0.25">
      <c r="A291" s="14">
        <v>316</v>
      </c>
      <c r="B291" s="14"/>
      <c r="C291" s="14"/>
      <c r="D291" s="14"/>
      <c r="E291" s="14"/>
      <c r="F291" s="14"/>
      <c r="G291" s="14"/>
      <c r="H291" s="14"/>
      <c r="I291" s="94"/>
      <c r="J291" s="14"/>
    </row>
    <row r="292" spans="1:10" hidden="1" x14ac:dyDescent="0.25">
      <c r="A292" s="14">
        <v>317</v>
      </c>
      <c r="B292" s="14"/>
      <c r="C292" s="14"/>
      <c r="D292" s="14"/>
      <c r="E292" s="14"/>
      <c r="F292" s="14"/>
      <c r="G292" s="14"/>
      <c r="H292" s="14"/>
      <c r="I292" s="94"/>
      <c r="J292" s="14"/>
    </row>
    <row r="293" spans="1:10" hidden="1" x14ac:dyDescent="0.25">
      <c r="A293" s="14">
        <v>318</v>
      </c>
      <c r="B293" s="14"/>
      <c r="C293" s="14"/>
      <c r="D293" s="14"/>
      <c r="E293" s="14"/>
      <c r="F293" s="14"/>
      <c r="G293" s="14"/>
      <c r="H293" s="14"/>
      <c r="I293" s="94"/>
      <c r="J293" s="14"/>
    </row>
    <row r="294" spans="1:10" hidden="1" x14ac:dyDescent="0.25">
      <c r="A294" s="14">
        <v>319</v>
      </c>
      <c r="B294" s="14"/>
      <c r="C294" s="14"/>
      <c r="D294" s="14"/>
      <c r="E294" s="14"/>
      <c r="F294" s="14"/>
      <c r="G294" s="14"/>
      <c r="H294" s="14"/>
      <c r="I294" s="94"/>
      <c r="J294" s="14"/>
    </row>
    <row r="295" spans="1:10" hidden="1" x14ac:dyDescent="0.25">
      <c r="A295" s="14">
        <v>320</v>
      </c>
      <c r="B295" s="14"/>
      <c r="C295" s="14"/>
      <c r="D295" s="14"/>
      <c r="E295" s="14"/>
      <c r="F295" s="14"/>
      <c r="G295" s="14"/>
      <c r="H295" s="14"/>
      <c r="I295" s="94"/>
      <c r="J295" s="14"/>
    </row>
    <row r="296" spans="1:10" hidden="1" x14ac:dyDescent="0.25">
      <c r="A296" s="14">
        <v>321</v>
      </c>
      <c r="B296" s="14"/>
      <c r="C296" s="14"/>
      <c r="D296" s="14"/>
      <c r="E296" s="14"/>
      <c r="F296" s="14"/>
      <c r="G296" s="14"/>
      <c r="H296" s="14"/>
      <c r="I296" s="94"/>
      <c r="J296" s="14"/>
    </row>
    <row r="297" spans="1:10" hidden="1" x14ac:dyDescent="0.25">
      <c r="A297" s="14">
        <v>322</v>
      </c>
      <c r="B297" s="14"/>
      <c r="C297" s="14"/>
      <c r="D297" s="14"/>
      <c r="E297" s="14"/>
      <c r="F297" s="14"/>
      <c r="G297" s="14"/>
      <c r="H297" s="14"/>
      <c r="I297" s="94"/>
      <c r="J297" s="14"/>
    </row>
    <row r="298" spans="1:10" hidden="1" x14ac:dyDescent="0.25">
      <c r="A298" s="14">
        <v>323</v>
      </c>
      <c r="B298" s="14"/>
      <c r="C298" s="14"/>
      <c r="D298" s="14"/>
      <c r="E298" s="14"/>
      <c r="F298" s="14"/>
      <c r="G298" s="14"/>
      <c r="H298" s="14"/>
      <c r="I298" s="94"/>
      <c r="J298" s="14"/>
    </row>
    <row r="299" spans="1:10" hidden="1" x14ac:dyDescent="0.25">
      <c r="A299" s="14">
        <v>324</v>
      </c>
      <c r="B299" s="14"/>
      <c r="C299" s="14"/>
      <c r="D299" s="14"/>
      <c r="E299" s="14"/>
      <c r="F299" s="14"/>
      <c r="G299" s="14"/>
      <c r="H299" s="14"/>
      <c r="I299" s="94"/>
      <c r="J299" s="14"/>
    </row>
    <row r="300" spans="1:10" hidden="1" x14ac:dyDescent="0.25">
      <c r="A300" s="14">
        <v>325</v>
      </c>
      <c r="B300" s="14"/>
      <c r="C300" s="14"/>
      <c r="D300" s="14"/>
      <c r="E300" s="14"/>
      <c r="F300" s="14"/>
      <c r="G300" s="14"/>
      <c r="H300" s="14"/>
      <c r="I300" s="94"/>
      <c r="J300" s="14"/>
    </row>
    <row r="301" spans="1:10" hidden="1" x14ac:dyDescent="0.25">
      <c r="A301" s="14">
        <v>326</v>
      </c>
      <c r="B301" s="14"/>
      <c r="C301" s="14"/>
      <c r="D301" s="14"/>
      <c r="E301" s="14"/>
      <c r="F301" s="14"/>
      <c r="G301" s="14"/>
      <c r="H301" s="14"/>
      <c r="I301" s="94"/>
      <c r="J301" s="14"/>
    </row>
    <row r="302" spans="1:10" hidden="1" x14ac:dyDescent="0.25">
      <c r="A302" s="14">
        <v>327</v>
      </c>
      <c r="B302" s="14"/>
      <c r="C302" s="14"/>
      <c r="D302" s="14"/>
      <c r="E302" s="14"/>
      <c r="F302" s="14"/>
      <c r="G302" s="14"/>
      <c r="H302" s="14"/>
      <c r="I302" s="94"/>
      <c r="J302" s="14"/>
    </row>
    <row r="303" spans="1:10" hidden="1" x14ac:dyDescent="0.25">
      <c r="A303" s="14">
        <v>328</v>
      </c>
      <c r="B303" s="14"/>
      <c r="C303" s="14"/>
      <c r="D303" s="14"/>
      <c r="E303" s="14"/>
      <c r="F303" s="14"/>
      <c r="G303" s="14"/>
      <c r="H303" s="14"/>
      <c r="I303" s="94"/>
      <c r="J303" s="14"/>
    </row>
    <row r="304" spans="1:10" hidden="1" x14ac:dyDescent="0.25">
      <c r="A304" s="14">
        <v>329</v>
      </c>
      <c r="B304" s="14"/>
      <c r="C304" s="14"/>
      <c r="D304" s="14"/>
      <c r="E304" s="14"/>
      <c r="F304" s="14"/>
      <c r="G304" s="14"/>
      <c r="H304" s="14"/>
      <c r="I304" s="94"/>
      <c r="J304" s="14"/>
    </row>
    <row r="305" spans="1:12" hidden="1" x14ac:dyDescent="0.25">
      <c r="A305" s="14">
        <v>330</v>
      </c>
      <c r="B305" s="14"/>
      <c r="C305" s="14"/>
      <c r="D305" s="14"/>
      <c r="E305" s="14"/>
      <c r="F305" s="14"/>
      <c r="G305" s="14"/>
      <c r="H305" s="14"/>
      <c r="I305" s="94"/>
      <c r="J305" s="14"/>
    </row>
    <row r="306" spans="1:12" hidden="1" x14ac:dyDescent="0.25">
      <c r="A306" s="14">
        <v>331</v>
      </c>
      <c r="B306" s="14"/>
      <c r="C306" s="14"/>
      <c r="D306" s="14"/>
      <c r="E306" s="14"/>
      <c r="F306" s="14"/>
      <c r="G306" s="14"/>
      <c r="H306" s="14"/>
      <c r="I306" s="94"/>
      <c r="J306" s="14"/>
    </row>
    <row r="307" spans="1:12" hidden="1" x14ac:dyDescent="0.25">
      <c r="A307" s="14">
        <v>332</v>
      </c>
      <c r="B307" s="14"/>
      <c r="C307" s="14"/>
      <c r="D307" s="14"/>
      <c r="E307" s="14"/>
      <c r="F307" s="14"/>
      <c r="G307" s="14"/>
      <c r="H307" s="14"/>
      <c r="I307" s="94"/>
      <c r="J307" s="14"/>
    </row>
    <row r="308" spans="1:12" hidden="1" x14ac:dyDescent="0.25">
      <c r="A308" s="14">
        <v>333</v>
      </c>
      <c r="B308" s="14"/>
      <c r="C308" s="14"/>
      <c r="D308" s="14"/>
      <c r="E308" s="14"/>
      <c r="F308" s="14"/>
      <c r="G308" s="14"/>
      <c r="H308" s="14"/>
      <c r="I308" s="94"/>
      <c r="J308" s="14"/>
    </row>
    <row r="309" spans="1:12" hidden="1" x14ac:dyDescent="0.25">
      <c r="A309" s="14">
        <v>334</v>
      </c>
      <c r="B309" s="14"/>
      <c r="C309" s="14"/>
      <c r="D309" s="14"/>
      <c r="E309" s="14"/>
      <c r="F309" s="14"/>
      <c r="G309" s="14"/>
      <c r="H309" s="14"/>
      <c r="I309" s="94"/>
      <c r="J309" s="14"/>
    </row>
    <row r="310" spans="1:12" hidden="1" x14ac:dyDescent="0.25">
      <c r="A310" s="14">
        <v>335</v>
      </c>
      <c r="B310" s="14"/>
      <c r="C310" s="14"/>
      <c r="D310" s="14"/>
      <c r="E310" s="14"/>
      <c r="F310" s="14"/>
      <c r="G310" s="14"/>
      <c r="H310" s="14"/>
      <c r="I310" s="94"/>
      <c r="J310" s="14"/>
    </row>
    <row r="311" spans="1:12" hidden="1" x14ac:dyDescent="0.25">
      <c r="A311" s="14">
        <v>336</v>
      </c>
      <c r="B311" s="14"/>
      <c r="C311" s="14"/>
      <c r="D311" s="14"/>
      <c r="E311" s="14"/>
      <c r="F311" s="14"/>
      <c r="G311" s="14"/>
      <c r="H311" s="14"/>
      <c r="I311" s="94"/>
      <c r="J311" s="14"/>
    </row>
    <row r="312" spans="1:12" hidden="1" x14ac:dyDescent="0.25">
      <c r="A312" s="14">
        <v>337</v>
      </c>
      <c r="B312" s="14"/>
      <c r="C312" s="14"/>
      <c r="D312" s="14"/>
      <c r="E312" s="14"/>
      <c r="F312" s="14"/>
      <c r="G312" s="14"/>
      <c r="H312" s="14"/>
      <c r="I312" s="94"/>
      <c r="J312" s="14"/>
    </row>
    <row r="313" spans="1:12" hidden="1" x14ac:dyDescent="0.25">
      <c r="A313" s="14">
        <v>338</v>
      </c>
      <c r="B313" s="14"/>
      <c r="C313" s="14"/>
      <c r="D313" s="14"/>
      <c r="E313" s="14"/>
      <c r="F313" s="14"/>
      <c r="G313" s="14"/>
      <c r="H313" s="14"/>
      <c r="I313" s="94"/>
      <c r="J313" s="14"/>
    </row>
    <row r="314" spans="1:12" hidden="1" x14ac:dyDescent="0.25">
      <c r="A314" s="14">
        <v>339</v>
      </c>
      <c r="B314" s="14"/>
      <c r="C314" s="14"/>
      <c r="D314" s="14"/>
      <c r="E314" s="14"/>
      <c r="F314" s="14"/>
      <c r="G314" s="14"/>
      <c r="H314" s="14"/>
      <c r="I314" s="94"/>
      <c r="J314" s="14"/>
    </row>
    <row r="315" spans="1:12" hidden="1" x14ac:dyDescent="0.25">
      <c r="A315" s="14">
        <v>340</v>
      </c>
      <c r="B315" s="14"/>
      <c r="C315" s="14"/>
      <c r="D315" s="14"/>
      <c r="E315" s="14"/>
      <c r="F315" s="14"/>
      <c r="G315" s="14"/>
      <c r="H315" s="14"/>
      <c r="I315" s="94"/>
      <c r="J315" s="14"/>
    </row>
    <row r="316" spans="1:12" hidden="1" x14ac:dyDescent="0.25">
      <c r="A316" s="14">
        <v>341</v>
      </c>
      <c r="B316" s="14"/>
      <c r="C316" s="14"/>
      <c r="D316" s="14"/>
      <c r="E316" s="14"/>
      <c r="F316" s="14"/>
      <c r="G316" s="14"/>
      <c r="H316" s="14"/>
      <c r="I316" s="94"/>
      <c r="J316" s="14"/>
      <c r="K316" s="87"/>
      <c r="L316" s="87"/>
    </row>
    <row r="317" spans="1:12" hidden="1" x14ac:dyDescent="0.25">
      <c r="A317" s="14">
        <v>342</v>
      </c>
      <c r="B317" s="14"/>
      <c r="C317" s="14"/>
      <c r="D317" s="14"/>
      <c r="E317" s="14"/>
      <c r="F317" s="14"/>
      <c r="G317" s="14"/>
      <c r="H317" s="14"/>
      <c r="I317" s="94"/>
      <c r="J317" s="14"/>
    </row>
    <row r="318" spans="1:12" hidden="1" x14ac:dyDescent="0.25">
      <c r="A318" s="14">
        <v>343</v>
      </c>
      <c r="B318" s="14"/>
      <c r="C318" s="14"/>
      <c r="D318" s="14"/>
      <c r="E318" s="14"/>
      <c r="F318" s="14"/>
      <c r="G318" s="14"/>
      <c r="H318" s="14"/>
      <c r="I318" s="94"/>
      <c r="J318" s="14"/>
    </row>
    <row r="319" spans="1:12" hidden="1" x14ac:dyDescent="0.25">
      <c r="A319" s="14">
        <v>344</v>
      </c>
      <c r="B319" s="14"/>
      <c r="C319" s="14"/>
      <c r="D319" s="14"/>
      <c r="E319" s="14"/>
      <c r="F319" s="14"/>
      <c r="G319" s="14"/>
      <c r="H319" s="14"/>
      <c r="I319" s="94"/>
      <c r="J319" s="14"/>
    </row>
    <row r="320" spans="1:12" hidden="1" x14ac:dyDescent="0.25">
      <c r="A320" s="14">
        <v>345</v>
      </c>
      <c r="B320" s="14"/>
      <c r="C320" s="14"/>
      <c r="D320" s="14"/>
      <c r="E320" s="14"/>
      <c r="F320" s="14"/>
      <c r="G320" s="14"/>
      <c r="H320" s="14"/>
      <c r="I320" s="94"/>
      <c r="J320" s="14"/>
    </row>
    <row r="321" spans="1:10" hidden="1" x14ac:dyDescent="0.25">
      <c r="A321" s="14">
        <v>346</v>
      </c>
      <c r="B321" s="14"/>
      <c r="C321" s="14"/>
      <c r="D321" s="14"/>
      <c r="E321" s="14"/>
      <c r="F321" s="14"/>
      <c r="G321" s="14"/>
      <c r="H321" s="14"/>
      <c r="I321" s="94"/>
      <c r="J321" s="14"/>
    </row>
    <row r="322" spans="1:10" hidden="1" x14ac:dyDescent="0.25">
      <c r="A322" s="14">
        <v>347</v>
      </c>
      <c r="B322" s="14"/>
      <c r="C322" s="14"/>
      <c r="D322" s="14"/>
      <c r="E322" s="14"/>
      <c r="F322" s="14"/>
      <c r="G322" s="14"/>
      <c r="H322" s="14"/>
      <c r="I322" s="94"/>
      <c r="J322" s="14"/>
    </row>
    <row r="323" spans="1:10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</row>
  </sheetData>
  <autoFilter ref="A1:J322" xr:uid="{61F5AA56-4798-4B61-817A-51173FE492AA}">
    <filterColumn colId="4">
      <filters>
        <filter val="бел.яз и лит."/>
      </filters>
    </filterColumn>
    <filterColumn colId="9">
      <filters>
        <filter val="I"/>
        <filter val="II"/>
        <filter val="III"/>
      </filters>
    </filterColumn>
  </autoFilter>
  <sortState xmlns:xlrd2="http://schemas.microsoft.com/office/spreadsheetml/2017/richdata2" ref="A2:L323">
    <sortCondition ref="A2:A323"/>
  </sortState>
  <pageMargins left="0.35433070866141736" right="0.23622047244094491" top="0.74803149606299213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activeCell="K13" sqref="K13"/>
    </sheetView>
  </sheetViews>
  <sheetFormatPr defaultRowHeight="15" x14ac:dyDescent="0.25"/>
  <cols>
    <col min="1" max="1" width="5.42578125" style="5" customWidth="1"/>
    <col min="2" max="2" width="41" style="5" customWidth="1"/>
    <col min="3" max="3" width="10.7109375" style="5" customWidth="1"/>
    <col min="4" max="4" width="7.140625" style="5" customWidth="1"/>
    <col min="5" max="5" width="9.28515625" style="5" customWidth="1"/>
    <col min="6" max="6" width="14.7109375" style="5" customWidth="1"/>
    <col min="7" max="7" width="11.28515625" style="5" customWidth="1"/>
    <col min="8" max="8" width="13" style="5" customWidth="1"/>
    <col min="9" max="9" width="10" style="5" customWidth="1"/>
    <col min="10" max="16384" width="9.140625" style="5"/>
  </cols>
  <sheetData>
    <row r="1" spans="1:9" ht="75.75" customHeight="1" x14ac:dyDescent="0.25">
      <c r="A1" s="149" t="s">
        <v>332</v>
      </c>
      <c r="B1" s="150"/>
      <c r="C1" s="150"/>
      <c r="D1" s="150"/>
      <c r="E1" s="150"/>
      <c r="F1" s="150"/>
      <c r="G1" s="147" t="s">
        <v>26</v>
      </c>
      <c r="H1" s="143" t="s">
        <v>69</v>
      </c>
      <c r="I1" s="144" t="s">
        <v>70</v>
      </c>
    </row>
    <row r="2" spans="1:9" ht="15.75" x14ac:dyDescent="0.25">
      <c r="A2" s="151" t="s">
        <v>21</v>
      </c>
      <c r="B2" s="151" t="s">
        <v>1</v>
      </c>
      <c r="C2" s="151" t="s">
        <v>22</v>
      </c>
      <c r="D2" s="150"/>
      <c r="E2" s="150"/>
      <c r="F2" s="152" t="s">
        <v>23</v>
      </c>
      <c r="G2" s="148"/>
      <c r="H2" s="143"/>
      <c r="I2" s="145"/>
    </row>
    <row r="3" spans="1:9" ht="15.75" x14ac:dyDescent="0.25">
      <c r="A3" s="150"/>
      <c r="B3" s="150"/>
      <c r="C3" s="66" t="s">
        <v>19</v>
      </c>
      <c r="D3" s="66" t="s">
        <v>17</v>
      </c>
      <c r="E3" s="66" t="s">
        <v>18</v>
      </c>
      <c r="F3" s="153"/>
      <c r="G3" s="148"/>
      <c r="H3" s="143"/>
      <c r="I3" s="146"/>
    </row>
    <row r="4" spans="1:9" ht="15.75" x14ac:dyDescent="0.25">
      <c r="A4" s="6">
        <v>1</v>
      </c>
      <c r="B4" s="9" t="s">
        <v>13</v>
      </c>
      <c r="C4" s="6">
        <f>COUNTIFS('Самопроверка по школам'!J2:J351,"I",'Самопроверка по школам'!D2:D351,"СШ №1 г.Сенно")</f>
        <v>2</v>
      </c>
      <c r="D4" s="6">
        <f>COUNTIFS('Самопроверка по школам'!J2:J351,"II",'Самопроверка по школам'!D2:D351,"СШ №1 г.Сенно")</f>
        <v>11</v>
      </c>
      <c r="E4" s="6">
        <f>COUNTIFS('Самопроверка по школам'!J2:J351,"III",'Самопроверка по школам'!D2:D351,"СШ №1 г.Сенно")</f>
        <v>10</v>
      </c>
      <c r="F4" s="6">
        <f>COUNTIFS('Самопроверка по школам'!J2:J351,"п.л.",'Самопроверка по школам'!D2:D351,"СШ №1 г.Сенно")</f>
        <v>12</v>
      </c>
      <c r="G4" s="19">
        <f>SUM(C4,D4,E4)</f>
        <v>23</v>
      </c>
      <c r="H4" s="8">
        <f>COUNTIF('Самопроверка по школам'!$D$2:$D$351,"СШ №1 г.Сенно")</f>
        <v>61</v>
      </c>
      <c r="I4" s="49">
        <f>G4/H4</f>
        <v>0.37704918032786883</v>
      </c>
    </row>
    <row r="5" spans="1:9" ht="15.75" x14ac:dyDescent="0.25">
      <c r="A5" s="6">
        <v>2</v>
      </c>
      <c r="B5" s="7" t="s">
        <v>24</v>
      </c>
      <c r="C5" s="6">
        <f>COUNTIFS('Самопроверка по школам'!J2:J351,"I",'Самопроверка по школам'!D2:D351,"СШ №2г.Сенно")</f>
        <v>6</v>
      </c>
      <c r="D5" s="6">
        <f>COUNTIFS('Самопроверка по школам'!J2:J351,"II",'Самопроверка по школам'!D2:D351,"СШ №2г.Сенно")</f>
        <v>7</v>
      </c>
      <c r="E5" s="6">
        <f>COUNTIFS('Самопроверка по школам'!J2:J351,"III",'Самопроверка по школам'!D2:D351,"СШ №2г.Сенно")</f>
        <v>12</v>
      </c>
      <c r="F5" s="6">
        <f>COUNTIFS('Самопроверка по школам'!J2:J351,"п.л.",'Самопроверка по школам'!D2:D351,"СШ №2г.Сенно")</f>
        <v>20</v>
      </c>
      <c r="G5" s="19">
        <f t="shared" ref="G5:G10" si="0">SUM(C5,D5,E5)</f>
        <v>25</v>
      </c>
      <c r="H5" s="8">
        <f>COUNTIF('Самопроверка по школам'!$D$2:$D$351,"СШ №2г.Сенно")</f>
        <v>67</v>
      </c>
      <c r="I5" s="49">
        <f t="shared" ref="I5:I20" si="1">G5/H5</f>
        <v>0.37313432835820898</v>
      </c>
    </row>
    <row r="6" spans="1:9" ht="15.75" hidden="1" x14ac:dyDescent="0.25">
      <c r="A6" s="6">
        <v>3</v>
      </c>
      <c r="B6" s="9" t="s">
        <v>11</v>
      </c>
      <c r="C6" s="6">
        <f>COUNTIFS('Самопроверка по школам'!J2:J351,"I",'Самопроверка по школам'!D2:D351,"Богушевская СШ №1")</f>
        <v>0</v>
      </c>
      <c r="D6" s="6">
        <f>COUNTIFS('Самопроверка по школам'!J2:J351,"II",'Самопроверка по школам'!D2:D351,"Богушевская СШ №1")</f>
        <v>0</v>
      </c>
      <c r="E6" s="6">
        <f>COUNTIFS('Самопроверка по школам'!J2:J351,"III",'Самопроверка по школам'!D2:D351,"Богушевская СШ №1")</f>
        <v>0</v>
      </c>
      <c r="F6" s="6">
        <f>COUNTIFS('Самопроверка по школам'!J2:J351,"п.л.",'Самопроверка по школам'!D2:D351,"Богушевская СШ №1")</f>
        <v>0</v>
      </c>
      <c r="G6" s="19">
        <f>SUM(C6,D6,E6)</f>
        <v>0</v>
      </c>
      <c r="H6" s="8">
        <f>COUNTIF('Самопроверка по школам'!$D$2:$D$351,"Богушевская СШ №1")</f>
        <v>0</v>
      </c>
      <c r="I6" s="49" t="e">
        <f t="shared" si="1"/>
        <v>#DIV/0!</v>
      </c>
    </row>
    <row r="7" spans="1:9" ht="15.75" x14ac:dyDescent="0.25">
      <c r="A7" s="6">
        <v>3</v>
      </c>
      <c r="B7" s="9" t="s">
        <v>110</v>
      </c>
      <c r="C7" s="42">
        <f>COUNTIFS('Самопроверка по школам'!J2:J351,"I",'Самопроверка по школам'!D2:D351,"Богушевская СШ")</f>
        <v>0</v>
      </c>
      <c r="D7" s="6">
        <f>COUNTIFS('Самопроверка по школам'!J2:J351,"II",'Самопроверка по школам'!D2:D351,"Богушевская СШ")</f>
        <v>4</v>
      </c>
      <c r="E7" s="6">
        <f>COUNTIFS('Самопроверка по школам'!J2:J351,"III",'Самопроверка по школам'!D2:D351,"Богушевская СШ")</f>
        <v>13</v>
      </c>
      <c r="F7" s="6">
        <f>COUNTIFS('Самопроверка по школам'!J2:J351,"п.л.",'Самопроверка по школам'!D2:D351,"Богушевская СШ")</f>
        <v>6</v>
      </c>
      <c r="G7" s="19">
        <f>SUM(C7,D7,E7)</f>
        <v>17</v>
      </c>
      <c r="H7" s="8">
        <f>COUNTIF('Самопроверка по школам'!$D$2:$D$351,"Богушевская СШ")</f>
        <v>37</v>
      </c>
      <c r="I7" s="49">
        <f t="shared" si="1"/>
        <v>0.45945945945945948</v>
      </c>
    </row>
    <row r="8" spans="1:9" ht="15" customHeight="1" x14ac:dyDescent="0.25">
      <c r="A8" s="6">
        <v>4</v>
      </c>
      <c r="B8" s="10" t="s">
        <v>15</v>
      </c>
      <c r="C8" s="6">
        <f>COUNTIFS('Самопроверка по школам'!J2:J351,"I",'Самопроверка по школам'!D2:D351,"Белицкая ДССШ")</f>
        <v>0</v>
      </c>
      <c r="D8" s="6">
        <f>COUNTIFS('Самопроверка по школам'!$J$2:$J$351,"II",'Самопроверка по школам'!$D$2:$D$351,"Белицкая ДССШ")</f>
        <v>2</v>
      </c>
      <c r="E8" s="6">
        <f>COUNTIFS('Самопроверка по школам'!$J$2:$J$351,"III",'Самопроверка по школам'!$D$2:$D$351,"Белицкая ДССШ")</f>
        <v>0</v>
      </c>
      <c r="F8" s="6">
        <f>COUNTIFS('Самопроверка по школам'!$J$2:$J$351,"п.л.",'Самопроверка по школам'!$D$2:$D$351,"Белицкая ДССШ")</f>
        <v>0</v>
      </c>
      <c r="G8" s="19">
        <f>SUM(C8,D8,E8)</f>
        <v>2</v>
      </c>
      <c r="H8" s="8">
        <f>COUNTIF('Самопроверка по школам'!$D$2:$D$351,"Белицкая ДССШ")</f>
        <v>5</v>
      </c>
      <c r="I8" s="49">
        <f t="shared" si="1"/>
        <v>0.4</v>
      </c>
    </row>
    <row r="9" spans="1:9" ht="15.75" x14ac:dyDescent="0.25">
      <c r="A9" s="6">
        <v>5</v>
      </c>
      <c r="B9" s="9" t="s">
        <v>93</v>
      </c>
      <c r="C9" s="6">
        <f>COUNTIFS('Самопроверка по школам'!J2:J351,"I",'Самопроверка по школам'!D2:D351,"Богдановская НШ")</f>
        <v>0</v>
      </c>
      <c r="D9" s="6">
        <f>COUNTIFS('Самопроверка по школам'!$J$2:$J$351,"II",'Самопроверка по школам'!$D$2:$D$351,"Богдановская НШ")</f>
        <v>0</v>
      </c>
      <c r="E9" s="6">
        <f>COUNTIFS('Самопроверка по школам'!$J$2:$J$351,"III",'Самопроверка по школам'!$D$2:$D$351,"Богдановская НШ")</f>
        <v>0</v>
      </c>
      <c r="F9" s="6">
        <f>COUNTIFS('Самопроверка по школам'!$J$2:$J$351,"п.л.",'Самопроверка по школам'!$D$2:$D$351,"Богдановская НШ")</f>
        <v>0</v>
      </c>
      <c r="G9" s="19">
        <f>SUM(C9,D9,E9)</f>
        <v>0</v>
      </c>
      <c r="H9" s="8">
        <f>COUNTIF('Самопроверка по школам'!$D$2:$D$351,"Богдановская НШ")</f>
        <v>2</v>
      </c>
      <c r="I9" s="49">
        <f t="shared" si="1"/>
        <v>0</v>
      </c>
    </row>
    <row r="10" spans="1:9" ht="15.75" x14ac:dyDescent="0.25">
      <c r="A10" s="6">
        <v>6</v>
      </c>
      <c r="B10" s="9" t="s">
        <v>16</v>
      </c>
      <c r="C10" s="6">
        <f>COUNTIFS('Самопроверка по школам'!J2:J351,"I",'Самопроверка по школам'!D2:D351,"Коковчинская ДССШ")</f>
        <v>0</v>
      </c>
      <c r="D10" s="6">
        <f>COUNTIFS('Самопроверка по школам'!$J$2:$J$351,"II",'Самопроверка по школам'!$D$2:$D$351,"Коковчинская ДССШ")</f>
        <v>0</v>
      </c>
      <c r="E10" s="6">
        <f>COUNTIFS('Самопроверка по школам'!$J$2:$J$351,"III",'Самопроверка по школам'!$D$2:$D$351,"Коковчинская ДССШ")</f>
        <v>0</v>
      </c>
      <c r="F10" s="6">
        <f>COUNTIFS('Самопроверка по школам'!$J$2:$J$351,"п.л.",'Самопроверка по школам'!$D$2:$D$351,"Коковчинская ДССШ")</f>
        <v>1</v>
      </c>
      <c r="G10" s="19">
        <f t="shared" si="0"/>
        <v>0</v>
      </c>
      <c r="H10" s="8">
        <f>COUNTIF('Самопроверка по школам'!$D$2:$D$351,"Коковчинская ДССШ")</f>
        <v>3</v>
      </c>
      <c r="I10" s="49">
        <f t="shared" si="1"/>
        <v>0</v>
      </c>
    </row>
    <row r="11" spans="1:9" ht="15.75" x14ac:dyDescent="0.25">
      <c r="A11" s="6">
        <v>7</v>
      </c>
      <c r="B11" s="9" t="s">
        <v>14</v>
      </c>
      <c r="C11" s="11">
        <f>COUNTIFS('Самопроверка по школам'!J2:J351,"I",'Самопроверка по школам'!D2:D351,"Мошканская ДССШ")</f>
        <v>0</v>
      </c>
      <c r="D11" s="11">
        <f>COUNTIFS('Самопроверка по школам'!$J$2:$J$351,"II",'Самопроверка по школам'!$D$2:$D$351,"Мошканская ДССШ")</f>
        <v>1</v>
      </c>
      <c r="E11" s="11">
        <f>COUNTIFS('Самопроверка по школам'!$J$2:$J$351,"III",'Самопроверка по школам'!$D$2:$D$351,"Мошканская ДССШ")</f>
        <v>4</v>
      </c>
      <c r="F11" s="6">
        <f>COUNTIFS('Самопроверка по школам'!$J$2:$J$351,"п.л.",'Самопроверка по школам'!$D$2:$D$351,"Мошканская ДССШ")</f>
        <v>13</v>
      </c>
      <c r="G11" s="19">
        <f t="shared" ref="G11:G15" si="2">SUM(C11,D11,E11)</f>
        <v>5</v>
      </c>
      <c r="H11" s="8">
        <f>COUNTIF('Самопроверка по школам'!$D$2:$D$351,"Мошканская ДССШ")</f>
        <v>35</v>
      </c>
      <c r="I11" s="49">
        <f t="shared" si="1"/>
        <v>0.14285714285714285</v>
      </c>
    </row>
    <row r="12" spans="1:9" ht="15.75" hidden="1" x14ac:dyDescent="0.25">
      <c r="A12" s="6">
        <v>9</v>
      </c>
      <c r="B12" s="9" t="s">
        <v>38</v>
      </c>
      <c r="C12" s="6">
        <f>COUNTIFS('Самопроверка по школам'!J2:J351,"I",'Самопроверка по школам'!D2:D351,"Мощёнская ДССШ")</f>
        <v>0</v>
      </c>
      <c r="D12" s="6">
        <f>COUNTIFS('Самопроверка по школам'!$J$2:$J$351,"II",'Самопроверка по школам'!$D$2:$D$351,"Мощёнская ДССШ")</f>
        <v>0</v>
      </c>
      <c r="E12" s="6">
        <f>COUNTIFS('Самопроверка по школам'!$J$2:$J$351,"III",'Самопроверка по школам'!$D$2:$D$351,"Мощёнская ДССШ")</f>
        <v>0</v>
      </c>
      <c r="F12" s="6">
        <f>COUNTIFS('Самопроверка по школам'!$J$2:$J$351,"п.л.",'Самопроверка по школам'!$D$2:$D$351,"Мощёнская ДССШ")</f>
        <v>0</v>
      </c>
      <c r="G12" s="19">
        <f t="shared" si="2"/>
        <v>0</v>
      </c>
      <c r="H12" s="8">
        <f>COUNTIF('Самопроверка по школам'!$D$2:$D$351,"Мощёнская ДССШ")</f>
        <v>0</v>
      </c>
      <c r="I12" s="49" t="e">
        <f t="shared" si="1"/>
        <v>#DIV/0!</v>
      </c>
    </row>
    <row r="13" spans="1:9" ht="15.75" x14ac:dyDescent="0.25">
      <c r="A13" s="6">
        <v>8</v>
      </c>
      <c r="B13" s="9" t="s">
        <v>12</v>
      </c>
      <c r="C13" s="6">
        <f>COUNTIFS('Самопроверка по школам'!J2:J351,"I",'Самопроверка по школам'!D2:D351,"Студёнковская ДССШ")</f>
        <v>1</v>
      </c>
      <c r="D13" s="6">
        <f>COUNTIFS('Самопроверка по школам'!$J$2:$J$351,"II",'Самопроверка по школам'!$D$2:$D$351,"Студёнковская ДССШ")</f>
        <v>3</v>
      </c>
      <c r="E13" s="6">
        <f>COUNTIFS('Самопроверка по школам'!$J$2:$J$351,"III",'Самопроверка по школам'!$D$2:$D$351,"Студёнковская ДССШ")</f>
        <v>3</v>
      </c>
      <c r="F13" s="6">
        <f>COUNTIFS('Самопроверка по школам'!$J$2:$J$351,"п.л.",'Самопроверка по школам'!$D$2:$D$351,"Студёнковская ДССШ")</f>
        <v>3</v>
      </c>
      <c r="G13" s="19">
        <f t="shared" si="2"/>
        <v>7</v>
      </c>
      <c r="H13" s="8">
        <f>COUNTIF('Самопроверка по школам'!$D$2:$D$351,"Студёнковская ДССШ")</f>
        <v>15</v>
      </c>
      <c r="I13" s="49">
        <f t="shared" si="1"/>
        <v>0.46666666666666667</v>
      </c>
    </row>
    <row r="14" spans="1:9" ht="15.75" x14ac:dyDescent="0.25">
      <c r="A14" s="6">
        <v>9</v>
      </c>
      <c r="B14" s="12" t="s">
        <v>79</v>
      </c>
      <c r="C14" s="6">
        <f>COUNTIFS('Самопроверка по школам'!J2:J351,"I",'Самопроверка по школам'!D2:D351,"Ходцевская ДССШ")</f>
        <v>1</v>
      </c>
      <c r="D14" s="6">
        <f>COUNTIFS('Самопроверка по школам'!$J$2:$J$351,"II",'Самопроверка по школам'!$D$2:$D$351,"Ходцевская ДССШ")</f>
        <v>2</v>
      </c>
      <c r="E14" s="6">
        <f>COUNTIFS('Самопроверка по школам'!$J$2:$J$351,"III",'Самопроверка по школам'!$D$2:$D$351,"Ходцевская ДССШ")</f>
        <v>0</v>
      </c>
      <c r="F14" s="6">
        <f>COUNTIFS('Самопроверка по школам'!$J$2:$J$351,"п.л.",'Самопроверка по школам'!$D$2:$D$351,"Ходцевская ДССШ")</f>
        <v>1</v>
      </c>
      <c r="G14" s="19">
        <f t="shared" si="2"/>
        <v>3</v>
      </c>
      <c r="H14" s="8">
        <f>COUNTIF('Самопроверка по школам'!$D$2:$D$351,"Ходцевская ДССШ")</f>
        <v>5</v>
      </c>
      <c r="I14" s="49">
        <f t="shared" si="1"/>
        <v>0.6</v>
      </c>
    </row>
    <row r="15" spans="1:9" ht="15.75" x14ac:dyDescent="0.25">
      <c r="A15" s="6">
        <v>10</v>
      </c>
      <c r="B15" s="9" t="s">
        <v>72</v>
      </c>
      <c r="C15" s="6">
        <f>COUNTIFS('Самопроверка по школам'!J2:J351,"I",'Самопроверка по школам'!D2:D351,"Яновская ДСБШ")</f>
        <v>1</v>
      </c>
      <c r="D15" s="6">
        <f>COUNTIFS('Самопроверка по школам'!$J$2:$J$351,"II",'Самопроверка по школам'!$D$2:$D$351,"Яновская ДСБШ")</f>
        <v>1</v>
      </c>
      <c r="E15" s="6">
        <f>COUNTIFS('Самопроверка по школам'!$J$2:$J$351,"III",'Самопроверка по школам'!$D$2:$D$351,"Яновская ДСБШ")</f>
        <v>0</v>
      </c>
      <c r="F15" s="6">
        <f>COUNTIFS('Самопроверка по школам'!$J$2:$J$351,"п.л.",'Самопроверка по школам'!$D$2:$D$351,"Яновская ДСБШ")</f>
        <v>2</v>
      </c>
      <c r="G15" s="19">
        <f t="shared" si="2"/>
        <v>2</v>
      </c>
      <c r="H15" s="8">
        <f>COUNTIF('Самопроверка по школам'!$D$2:$D$351,"Яновская ДСБШ")</f>
        <v>9</v>
      </c>
      <c r="I15" s="49">
        <f t="shared" si="1"/>
        <v>0.22222222222222221</v>
      </c>
    </row>
    <row r="16" spans="1:9" ht="15.75" x14ac:dyDescent="0.25">
      <c r="A16" s="6"/>
      <c r="B16" s="9"/>
      <c r="C16" s="6"/>
      <c r="D16" s="6"/>
      <c r="E16" s="6"/>
      <c r="F16" s="6"/>
      <c r="G16" s="19"/>
      <c r="H16" s="8"/>
      <c r="I16" s="49"/>
    </row>
    <row r="17" spans="1:9" ht="15.75" hidden="1" x14ac:dyDescent="0.25">
      <c r="A17" s="6"/>
      <c r="B17" s="7"/>
      <c r="C17" s="6"/>
      <c r="D17" s="6"/>
      <c r="E17" s="6"/>
      <c r="F17" s="6"/>
      <c r="G17" s="19"/>
      <c r="H17" s="8"/>
      <c r="I17" s="47"/>
    </row>
    <row r="18" spans="1:9" ht="15.75" hidden="1" x14ac:dyDescent="0.25">
      <c r="A18" s="6"/>
      <c r="B18" s="9"/>
      <c r="C18" s="6"/>
      <c r="D18" s="6"/>
      <c r="E18" s="6"/>
      <c r="F18" s="6"/>
      <c r="G18" s="19"/>
      <c r="H18" s="8"/>
      <c r="I18" s="47"/>
    </row>
    <row r="19" spans="1:9" ht="15.75" hidden="1" x14ac:dyDescent="0.25">
      <c r="A19" s="6"/>
      <c r="B19" s="9"/>
      <c r="C19" s="6"/>
      <c r="D19" s="6"/>
      <c r="E19" s="6"/>
      <c r="F19" s="6"/>
      <c r="G19" s="19"/>
      <c r="H19" s="8"/>
      <c r="I19" s="47"/>
    </row>
    <row r="20" spans="1:9" ht="15.75" x14ac:dyDescent="0.25">
      <c r="A20" s="20"/>
      <c r="B20" s="21" t="s">
        <v>28</v>
      </c>
      <c r="C20" s="67">
        <f>SUM(C4:C19)</f>
        <v>11</v>
      </c>
      <c r="D20" s="67">
        <f>SUM(D4:D19)</f>
        <v>31</v>
      </c>
      <c r="E20" s="67">
        <f t="shared" ref="E20" si="3">SUM(E4:E19)</f>
        <v>42</v>
      </c>
      <c r="F20" s="65">
        <f>SUM(F4:F19)</f>
        <v>58</v>
      </c>
      <c r="G20" s="63">
        <f>SUM(G4:G19)</f>
        <v>84</v>
      </c>
      <c r="H20" s="64">
        <f>SUM(H4:H19)</f>
        <v>239</v>
      </c>
      <c r="I20" s="49">
        <f t="shared" si="1"/>
        <v>0.35146443514644349</v>
      </c>
    </row>
    <row r="22" spans="1:9" x14ac:dyDescent="0.25">
      <c r="C22" s="5">
        <f>C20+D20+E20</f>
        <v>84</v>
      </c>
    </row>
    <row r="23" spans="1:9" x14ac:dyDescent="0.25">
      <c r="C23" s="5">
        <f>SUM(C4:C16)</f>
        <v>11</v>
      </c>
      <c r="D23" s="5">
        <f t="shared" ref="D23:E23" si="4">SUM(D4:D16)</f>
        <v>31</v>
      </c>
      <c r="E23" s="5">
        <f t="shared" si="4"/>
        <v>42</v>
      </c>
    </row>
    <row r="30" spans="1:9" x14ac:dyDescent="0.25">
      <c r="C30" s="5">
        <f>22+27+14+17+28/4+20+8+21</f>
        <v>136</v>
      </c>
    </row>
  </sheetData>
  <mergeCells count="8">
    <mergeCell ref="H1:H3"/>
    <mergeCell ref="I1:I3"/>
    <mergeCell ref="G1:G3"/>
    <mergeCell ref="A1:F1"/>
    <mergeCell ref="C2:E2"/>
    <mergeCell ref="A2:A3"/>
    <mergeCell ref="B2:B3"/>
    <mergeCell ref="F2:F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5"/>
  <sheetViews>
    <sheetView workbookViewId="0">
      <selection activeCell="M20" sqref="M20"/>
    </sheetView>
  </sheetViews>
  <sheetFormatPr defaultRowHeight="15" x14ac:dyDescent="0.25"/>
  <cols>
    <col min="1" max="1" width="23.140625" customWidth="1"/>
    <col min="2" max="2" width="8.7109375" customWidth="1"/>
    <col min="3" max="3" width="9.7109375" customWidth="1"/>
    <col min="4" max="4" width="14" customWidth="1"/>
    <col min="5" max="5" width="10.140625" customWidth="1"/>
    <col min="6" max="6" width="5.7109375" customWidth="1"/>
    <col min="7" max="8" width="5.28515625" customWidth="1"/>
    <col min="9" max="9" width="4.85546875" customWidth="1"/>
    <col min="10" max="10" width="5.7109375" customWidth="1"/>
    <col min="11" max="11" width="6.5703125" customWidth="1"/>
    <col min="12" max="12" width="4.28515625" customWidth="1"/>
    <col min="13" max="13" width="5" customWidth="1"/>
    <col min="14" max="14" width="4.42578125" customWidth="1"/>
    <col min="15" max="15" width="4.7109375" customWidth="1"/>
    <col min="16" max="16" width="3.7109375" customWidth="1"/>
    <col min="17" max="17" width="4.7109375" customWidth="1"/>
    <col min="18" max="18" width="4.28515625" customWidth="1"/>
    <col min="19" max="19" width="4.140625" customWidth="1"/>
    <col min="20" max="20" width="4.42578125" customWidth="1"/>
    <col min="21" max="21" width="4.140625" customWidth="1"/>
    <col min="22" max="22" width="8.28515625" customWidth="1"/>
  </cols>
  <sheetData>
    <row r="1" spans="1:24" ht="39" customHeight="1" x14ac:dyDescent="0.25">
      <c r="A1" s="158" t="s">
        <v>331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4" ht="36.75" customHeight="1" x14ac:dyDescent="0.25">
      <c r="A2" s="160" t="s">
        <v>80</v>
      </c>
      <c r="B2" s="163" t="s">
        <v>103</v>
      </c>
      <c r="C2" s="166" t="s">
        <v>89</v>
      </c>
      <c r="D2" s="169" t="s">
        <v>42</v>
      </c>
      <c r="E2" s="172" t="s">
        <v>74</v>
      </c>
      <c r="F2" s="173"/>
      <c r="G2" s="173"/>
      <c r="H2" s="174"/>
      <c r="I2" s="175" t="s">
        <v>43</v>
      </c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7"/>
    </row>
    <row r="3" spans="1:24" ht="57" customHeight="1" x14ac:dyDescent="0.25">
      <c r="A3" s="161"/>
      <c r="B3" s="164"/>
      <c r="C3" s="167"/>
      <c r="D3" s="170"/>
      <c r="E3" s="178" t="s">
        <v>75</v>
      </c>
      <c r="F3" s="180" t="s">
        <v>19</v>
      </c>
      <c r="G3" s="180" t="s">
        <v>17</v>
      </c>
      <c r="H3" s="180" t="s">
        <v>18</v>
      </c>
      <c r="I3" s="182" t="s">
        <v>29</v>
      </c>
      <c r="J3" s="184" t="s">
        <v>30</v>
      </c>
      <c r="K3" s="186" t="s">
        <v>31</v>
      </c>
      <c r="L3" s="188" t="s">
        <v>32</v>
      </c>
      <c r="M3" s="156" t="s">
        <v>33</v>
      </c>
      <c r="N3" s="194" t="s">
        <v>34</v>
      </c>
      <c r="O3" s="196" t="s">
        <v>35</v>
      </c>
      <c r="P3" s="198" t="s">
        <v>36</v>
      </c>
      <c r="Q3" s="156" t="s">
        <v>37</v>
      </c>
      <c r="R3" s="200" t="s">
        <v>44</v>
      </c>
      <c r="S3" s="186" t="s">
        <v>45</v>
      </c>
      <c r="T3" s="190" t="s">
        <v>46</v>
      </c>
      <c r="U3" s="192" t="s">
        <v>47</v>
      </c>
      <c r="V3" s="154" t="s">
        <v>158</v>
      </c>
      <c r="W3" s="154" t="s">
        <v>159</v>
      </c>
    </row>
    <row r="4" spans="1:24" ht="15" customHeight="1" x14ac:dyDescent="0.25">
      <c r="A4" s="162"/>
      <c r="B4" s="165"/>
      <c r="C4" s="168"/>
      <c r="D4" s="171"/>
      <c r="E4" s="179"/>
      <c r="F4" s="181"/>
      <c r="G4" s="181"/>
      <c r="H4" s="181"/>
      <c r="I4" s="183"/>
      <c r="J4" s="185"/>
      <c r="K4" s="187"/>
      <c r="L4" s="189"/>
      <c r="M4" s="157"/>
      <c r="N4" s="195"/>
      <c r="O4" s="197"/>
      <c r="P4" s="199"/>
      <c r="Q4" s="157"/>
      <c r="R4" s="201"/>
      <c r="S4" s="187"/>
      <c r="T4" s="191"/>
      <c r="U4" s="193"/>
      <c r="V4" s="155"/>
      <c r="W4" s="155"/>
    </row>
    <row r="5" spans="1:24" ht="18.75" x14ac:dyDescent="0.25">
      <c r="A5" s="14" t="s">
        <v>13</v>
      </c>
      <c r="B5" s="100">
        <v>314</v>
      </c>
      <c r="C5" s="8">
        <f>COUNTIF('Самопроверка по школам'!$D$2:$D$351,"СШ №1 г.Сенно")</f>
        <v>61</v>
      </c>
      <c r="D5" s="47">
        <f>E5/C5</f>
        <v>0.37704918032786883</v>
      </c>
      <c r="E5" s="15">
        <f>SUM(F5:H5)</f>
        <v>23</v>
      </c>
      <c r="F5" s="16">
        <f>COUNTIFS('Самопроверка по школам'!$J$2:$J$351,"I",'Самопроверка по школам'!$D$2:$D$351,"СШ №1 г.Сенно")</f>
        <v>2</v>
      </c>
      <c r="G5" s="16">
        <f>COUNTIFS('Самопроверка по школам'!$J$2:$J$351,"II",'Самопроверка по школам'!$D$2:$D$351,"СШ №1 г.Сенно")</f>
        <v>11</v>
      </c>
      <c r="H5" s="16">
        <f>COUNTIFS('Самопроверка по школам'!$J$2:$J$351,"III",'Самопроверка по школам'!$D$2:$D$351,"СШ №1 г.Сенно")</f>
        <v>10</v>
      </c>
      <c r="I5" s="17">
        <v>7</v>
      </c>
      <c r="J5" s="17">
        <v>6</v>
      </c>
      <c r="K5" s="17">
        <v>2</v>
      </c>
      <c r="L5" s="17"/>
      <c r="M5" s="17">
        <v>3</v>
      </c>
      <c r="N5" s="17"/>
      <c r="O5" s="17"/>
      <c r="P5" s="17"/>
      <c r="Q5" s="17">
        <v>3</v>
      </c>
      <c r="R5" s="17"/>
      <c r="S5" s="17">
        <v>1</v>
      </c>
      <c r="T5" s="17"/>
      <c r="U5" s="17">
        <v>1</v>
      </c>
      <c r="V5" s="17"/>
      <c r="W5" s="17"/>
      <c r="X5" s="2">
        <f>SUM(I5:W5)</f>
        <v>23</v>
      </c>
    </row>
    <row r="6" spans="1:24" ht="18.75" x14ac:dyDescent="0.25">
      <c r="A6" s="14" t="s">
        <v>10</v>
      </c>
      <c r="B6" s="100">
        <v>327</v>
      </c>
      <c r="C6" s="8">
        <f>COUNTIF('Самопроверка по школам'!$D$2:$D$351,"СШ №2г.Сенно")</f>
        <v>67</v>
      </c>
      <c r="D6" s="47">
        <f t="shared" ref="D6:D20" si="0">E6/C6</f>
        <v>0.37313432835820898</v>
      </c>
      <c r="E6" s="15">
        <f>SUM(F6:H6)</f>
        <v>25</v>
      </c>
      <c r="F6" s="16">
        <f>COUNTIFS('Самопроверка по школам'!$J$2:$J$351,"I",'Самопроверка по школам'!$D$2:$D$351,"СШ №2г.Сенно")</f>
        <v>6</v>
      </c>
      <c r="G6" s="16">
        <f>COUNTIFS('Самопроверка по школам'!$J$2:$J$351,"II",'Самопроверка по школам'!$D$2:$D$351,"СШ №2г.Сенно")</f>
        <v>7</v>
      </c>
      <c r="H6" s="16">
        <f>COUNTIFS('Самопроверка по школам'!$J$2:$J$351,"III",'Самопроверка по школам'!$D$2:$D$351,"СШ №2г.Сенно")</f>
        <v>12</v>
      </c>
      <c r="I6" s="17">
        <v>4</v>
      </c>
      <c r="J6" s="17">
        <v>4</v>
      </c>
      <c r="K6" s="17">
        <v>2</v>
      </c>
      <c r="L6" s="17"/>
      <c r="M6" s="17">
        <v>2</v>
      </c>
      <c r="N6" s="17"/>
      <c r="O6" s="17">
        <v>1</v>
      </c>
      <c r="P6" s="17"/>
      <c r="Q6" s="17">
        <v>1</v>
      </c>
      <c r="R6" s="17">
        <v>1</v>
      </c>
      <c r="S6" s="17">
        <v>1</v>
      </c>
      <c r="T6" s="17"/>
      <c r="U6" s="17">
        <v>1</v>
      </c>
      <c r="V6" s="17">
        <v>6</v>
      </c>
      <c r="W6" s="17">
        <v>2</v>
      </c>
      <c r="X6" s="2">
        <f t="shared" ref="X6:X16" si="1">SUM(I6:W6)</f>
        <v>25</v>
      </c>
    </row>
    <row r="7" spans="1:24" ht="18.75" hidden="1" x14ac:dyDescent="0.25">
      <c r="A7" s="14" t="s">
        <v>11</v>
      </c>
      <c r="B7" s="100"/>
      <c r="C7" s="8"/>
      <c r="D7" s="47" t="e">
        <f t="shared" si="0"/>
        <v>#DIV/0!</v>
      </c>
      <c r="E7" s="15">
        <f t="shared" ref="E7:E20" si="2">SUM(F7:H7)</f>
        <v>0</v>
      </c>
      <c r="F7" s="16"/>
      <c r="G7" s="16"/>
      <c r="H7" s="1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2">
        <f t="shared" si="1"/>
        <v>0</v>
      </c>
    </row>
    <row r="8" spans="1:24" ht="18.75" x14ac:dyDescent="0.25">
      <c r="A8" s="14" t="s">
        <v>109</v>
      </c>
      <c r="B8" s="100">
        <v>179</v>
      </c>
      <c r="C8" s="8">
        <f>COUNTIF('Самопроверка по школам'!$D$2:$D$351,"Богушевская СШ")</f>
        <v>37</v>
      </c>
      <c r="D8" s="47">
        <f t="shared" si="0"/>
        <v>0.45945945945945948</v>
      </c>
      <c r="E8" s="15">
        <f t="shared" si="2"/>
        <v>17</v>
      </c>
      <c r="F8" s="16">
        <f>COUNTIFS('Самопроверка по школам'!$J$2:$J$351,"I",'Самопроверка по школам'!$D$2:$D$351,"Богушевская СШ")</f>
        <v>0</v>
      </c>
      <c r="G8" s="16">
        <f>COUNTIFS('Самопроверка по школам'!$J$2:$J$351,"II",'Самопроверка по школам'!$D$2:$D$351,"Богушевская СШ")</f>
        <v>4</v>
      </c>
      <c r="H8" s="16">
        <f>COUNTIFS('Самопроверка по школам'!$J$2:$J$351,"III",'Самопроверка по школам'!$D$2:$D$351,"Богушевская СШ")</f>
        <v>13</v>
      </c>
      <c r="I8" s="17">
        <v>3</v>
      </c>
      <c r="J8" s="17">
        <v>6</v>
      </c>
      <c r="K8" s="17">
        <v>3</v>
      </c>
      <c r="L8" s="17"/>
      <c r="M8" s="17">
        <v>2</v>
      </c>
      <c r="N8" s="17"/>
      <c r="O8" s="17">
        <v>1</v>
      </c>
      <c r="P8" s="17"/>
      <c r="Q8" s="17"/>
      <c r="R8" s="17"/>
      <c r="S8" s="17"/>
      <c r="T8" s="17"/>
      <c r="U8" s="17"/>
      <c r="V8" s="17">
        <v>1</v>
      </c>
      <c r="W8" s="17">
        <v>1</v>
      </c>
      <c r="X8" s="2">
        <f t="shared" si="1"/>
        <v>17</v>
      </c>
    </row>
    <row r="9" spans="1:24" ht="18.75" x14ac:dyDescent="0.25">
      <c r="A9" s="14" t="s">
        <v>15</v>
      </c>
      <c r="B9" s="100">
        <v>19</v>
      </c>
      <c r="C9" s="8">
        <f>COUNTIF('Самопроверка по школам'!$D$2:$D$351,"Белицкая ДССШ")</f>
        <v>5</v>
      </c>
      <c r="D9" s="47">
        <f t="shared" si="0"/>
        <v>0.4</v>
      </c>
      <c r="E9" s="15">
        <f>SUM(F9:H9)</f>
        <v>2</v>
      </c>
      <c r="F9" s="16">
        <f>COUNTIFS('Самопроверка по школам'!$J$2:$J$351,"I",'Самопроверка по школам'!$D$2:$D$351,"Белицкая ДССШ")</f>
        <v>0</v>
      </c>
      <c r="G9" s="16">
        <f>COUNTIFS('Самопроверка по школам'!$J$2:$J$351,"II",'Самопроверка по школам'!$D$2:$D$351,"Белицкая ДССШ")</f>
        <v>2</v>
      </c>
      <c r="H9" s="16">
        <f>COUNTIFS('Самопроверка по школам'!$J$2:$J$351,"III",'Самопроверка по школам'!$D$2:$D$351,"Белицкая ДССШ")</f>
        <v>0</v>
      </c>
      <c r="I9" s="17">
        <v>1</v>
      </c>
      <c r="J9" s="17"/>
      <c r="K9" s="17"/>
      <c r="L9" s="17"/>
      <c r="M9" s="17"/>
      <c r="N9" s="17"/>
      <c r="O9" s="17"/>
      <c r="P9" s="17"/>
      <c r="Q9" s="17"/>
      <c r="R9" s="17">
        <v>1</v>
      </c>
      <c r="S9" s="17"/>
      <c r="T9" s="17"/>
      <c r="U9" s="17"/>
      <c r="V9" s="17"/>
      <c r="W9" s="17"/>
      <c r="X9" s="2">
        <f t="shared" si="1"/>
        <v>2</v>
      </c>
    </row>
    <row r="10" spans="1:24" ht="18.75" x14ac:dyDescent="0.25">
      <c r="A10" s="14" t="s">
        <v>108</v>
      </c>
      <c r="B10" s="100">
        <v>4</v>
      </c>
      <c r="C10" s="8">
        <f>COUNTIF('Самопроверка по школам'!$D$2:$D$351,"Богдановская НШ")</f>
        <v>2</v>
      </c>
      <c r="D10" s="47">
        <f t="shared" si="0"/>
        <v>0</v>
      </c>
      <c r="E10" s="15">
        <f t="shared" si="2"/>
        <v>0</v>
      </c>
      <c r="F10" s="16">
        <f>COUNTIFS('Самопроверка по школам'!$J$2:$J$351,"I",'Самопроверка по школам'!$D$2:$D$351,"Богдановская НШ")</f>
        <v>0</v>
      </c>
      <c r="G10" s="16">
        <f>COUNTIFS('Самопроверка по школам'!$J$2:$J$351,"II",'Самопроверка по школам'!$D$2:$D$351,"Богдановская НШ")</f>
        <v>0</v>
      </c>
      <c r="H10" s="16">
        <f>COUNTIFS('Самопроверка по школам'!$J$2:$J$351,"III",'Самопроверка по школам'!$D$2:$D$351,"Богдановская НШ")</f>
        <v>0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2">
        <f t="shared" si="1"/>
        <v>0</v>
      </c>
    </row>
    <row r="11" spans="1:24" ht="18.75" x14ac:dyDescent="0.25">
      <c r="A11" s="14" t="s">
        <v>16</v>
      </c>
      <c r="B11" s="100">
        <v>20</v>
      </c>
      <c r="C11" s="8">
        <f>COUNTIF('Самопроверка по школам'!$D$2:$D$351,"Коковчинская ДССШ")</f>
        <v>3</v>
      </c>
      <c r="D11" s="47">
        <f t="shared" si="0"/>
        <v>0</v>
      </c>
      <c r="E11" s="15">
        <f t="shared" si="2"/>
        <v>0</v>
      </c>
      <c r="F11" s="16">
        <f>COUNTIFS('Самопроверка по школам'!$J$2:$J$351,"I",'Самопроверка по школам'!$D$2:$D$351,"Коковчинская ДССШ")</f>
        <v>0</v>
      </c>
      <c r="G11" s="16">
        <f>COUNTIFS('Самопроверка по школам'!$J$2:$J$351,"II",'Самопроверка по школам'!$D$2:$D$351,"Коковчинская ДССШ")</f>
        <v>0</v>
      </c>
      <c r="H11" s="16">
        <f>COUNTIFS('Самопроверка по школам'!$J$2:$J$351,"III",'Самопроверка по школам'!$D$2:$D$351,"Коковчинская ДССШ")</f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2">
        <f t="shared" si="1"/>
        <v>0</v>
      </c>
    </row>
    <row r="12" spans="1:24" ht="18.75" x14ac:dyDescent="0.25">
      <c r="A12" s="14" t="s">
        <v>14</v>
      </c>
      <c r="B12" s="100">
        <v>80</v>
      </c>
      <c r="C12" s="8">
        <f>COUNTIF('Самопроверка по школам'!$D$2:$D$351,"Мошканская ДССШ")</f>
        <v>35</v>
      </c>
      <c r="D12" s="47">
        <f t="shared" si="0"/>
        <v>0.14285714285714285</v>
      </c>
      <c r="E12" s="15">
        <f t="shared" si="2"/>
        <v>5</v>
      </c>
      <c r="F12" s="16">
        <f>COUNTIFS('Самопроверка по школам'!$J$2:$J$351,"I",'Самопроверка по школам'!$D$2:$D$351,"Мошканская ДССШ")</f>
        <v>0</v>
      </c>
      <c r="G12" s="16">
        <f>COUNTIFS('Самопроверка по школам'!$J$2:$J$351,"II",'Самопроверка по школам'!$D$2:$D$351,"Мошканская ДССШ")</f>
        <v>1</v>
      </c>
      <c r="H12" s="16">
        <f>COUNTIFS('Самопроверка по школам'!$J$2:$J$351,"III",'Самопроверка по школам'!$D$2:$D$351,"Мошканская ДССШ")</f>
        <v>4</v>
      </c>
      <c r="I12" s="17">
        <v>2</v>
      </c>
      <c r="J12" s="17">
        <v>2</v>
      </c>
      <c r="K12" s="17"/>
      <c r="L12" s="17"/>
      <c r="M12" s="17">
        <v>1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2">
        <f t="shared" si="1"/>
        <v>5</v>
      </c>
    </row>
    <row r="13" spans="1:24" ht="18.75" hidden="1" x14ac:dyDescent="0.25">
      <c r="A13" s="14" t="s">
        <v>38</v>
      </c>
      <c r="B13" s="100"/>
      <c r="C13" s="8"/>
      <c r="D13" s="47" t="e">
        <f t="shared" si="0"/>
        <v>#DIV/0!</v>
      </c>
      <c r="E13" s="15">
        <f t="shared" si="2"/>
        <v>0</v>
      </c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2">
        <f t="shared" si="1"/>
        <v>0</v>
      </c>
    </row>
    <row r="14" spans="1:24" ht="18.75" x14ac:dyDescent="0.25">
      <c r="A14" s="14" t="s">
        <v>39</v>
      </c>
      <c r="B14" s="100">
        <v>42</v>
      </c>
      <c r="C14" s="8">
        <f>COUNTIF('Самопроверка по школам'!$D$2:$D$351,"Студёнковская ДССШ")</f>
        <v>15</v>
      </c>
      <c r="D14" s="47">
        <f t="shared" si="0"/>
        <v>0.46666666666666667</v>
      </c>
      <c r="E14" s="15">
        <f t="shared" si="2"/>
        <v>7</v>
      </c>
      <c r="F14" s="16">
        <f>COUNTIFS('Самопроверка по школам'!$J$2:$J$351,"I",'Самопроверка по школам'!$D$2:$D$351,"Студёнковская ДССШ")</f>
        <v>1</v>
      </c>
      <c r="G14" s="16">
        <f>COUNTIFS('Самопроверка по школам'!$J$2:$J$351,"II",'Самопроверка по школам'!$D$2:$D$351,"Студёнковская ДССШ")</f>
        <v>3</v>
      </c>
      <c r="H14" s="16">
        <f>COUNTIFS('Самопроверка по школам'!$J$2:$J$351,"III",'Самопроверка по школам'!$D$2:$D$351,"Студёнковская ДССШ")</f>
        <v>3</v>
      </c>
      <c r="I14" s="17">
        <v>2</v>
      </c>
      <c r="J14" s="17">
        <v>2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>
        <v>3</v>
      </c>
      <c r="W14" s="17"/>
      <c r="X14" s="2">
        <f t="shared" si="1"/>
        <v>7</v>
      </c>
    </row>
    <row r="15" spans="1:24" ht="18.75" x14ac:dyDescent="0.25">
      <c r="A15" s="14" t="s">
        <v>79</v>
      </c>
      <c r="B15" s="100">
        <v>29</v>
      </c>
      <c r="C15" s="8">
        <f>COUNTIF('Самопроверка по школам'!$D$2:$D$351,"Ходцевская ДССШ")</f>
        <v>5</v>
      </c>
      <c r="D15" s="47">
        <f t="shared" si="0"/>
        <v>0.6</v>
      </c>
      <c r="E15" s="15">
        <f t="shared" si="2"/>
        <v>3</v>
      </c>
      <c r="F15" s="16">
        <f>COUNTIFS('Самопроверка по школам'!$J$2:$J$351,"I",'Самопроверка по школам'!$D$2:$D$351,"Ходцевская ДССШ")</f>
        <v>1</v>
      </c>
      <c r="G15" s="16">
        <f>COUNTIFS('Самопроверка по школам'!$J$2:$J$351,"II",'Самопроверка по школам'!$D$2:$D$351,"Ходцевская ДССШ")</f>
        <v>2</v>
      </c>
      <c r="H15" s="16">
        <f>COUNTIFS('Самопроверка по школам'!$J$2:$J$351,"III",'Самопроверка по школам'!$D$2:$D$351,"Ходцевская ДССШ")</f>
        <v>0</v>
      </c>
      <c r="I15" s="17">
        <v>2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>
        <v>1</v>
      </c>
      <c r="X15" s="2">
        <f t="shared" si="1"/>
        <v>3</v>
      </c>
    </row>
    <row r="16" spans="1:24" ht="18.75" x14ac:dyDescent="0.25">
      <c r="A16" s="14" t="s">
        <v>72</v>
      </c>
      <c r="B16" s="100">
        <v>50</v>
      </c>
      <c r="C16" s="8">
        <f>COUNTIF('Самопроверка по школам'!$D$2:$D$351,"Яновская ДСБШ")</f>
        <v>9</v>
      </c>
      <c r="D16" s="47">
        <f t="shared" si="0"/>
        <v>0.22222222222222221</v>
      </c>
      <c r="E16" s="15">
        <f t="shared" si="2"/>
        <v>2</v>
      </c>
      <c r="F16" s="16">
        <f>COUNTIFS('Самопроверка по школам'!$J$2:$J$351,"I",'Самопроверка по школам'!$D$2:$D$351,"Яновская ДСБШ")</f>
        <v>1</v>
      </c>
      <c r="G16" s="16">
        <f>COUNTIFS('Самопроверка по школам'!$J$2:$J$351,"II",'Самопроверка по школам'!$D$2:$D$351,"Яновская ДСБШ")</f>
        <v>1</v>
      </c>
      <c r="H16" s="16">
        <f>COUNTIFS('Самопроверка по школам'!$J$2:$J$351,"III",'Самопроверка по школам'!$D$2:$D$351,"Яновская ДСБШ")</f>
        <v>0</v>
      </c>
      <c r="I16" s="17">
        <v>1</v>
      </c>
      <c r="J16" s="17">
        <v>1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2">
        <f t="shared" si="1"/>
        <v>2</v>
      </c>
    </row>
    <row r="17" spans="1:24" ht="33.75" hidden="1" customHeight="1" x14ac:dyDescent="0.25">
      <c r="A17" s="14" t="s">
        <v>40</v>
      </c>
      <c r="B17" s="14"/>
      <c r="C17" s="8"/>
      <c r="D17" s="47" t="e">
        <f t="shared" si="0"/>
        <v>#DIV/0!</v>
      </c>
      <c r="E17" s="15">
        <f t="shared" si="2"/>
        <v>0</v>
      </c>
      <c r="F17" s="16"/>
      <c r="G17" s="16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4" ht="18.75" hidden="1" x14ac:dyDescent="0.25">
      <c r="A18" s="14" t="s">
        <v>25</v>
      </c>
      <c r="B18" s="14"/>
      <c r="C18" s="8"/>
      <c r="D18" s="47" t="e">
        <f t="shared" si="0"/>
        <v>#DIV/0!</v>
      </c>
      <c r="E18" s="15">
        <f t="shared" si="2"/>
        <v>0</v>
      </c>
      <c r="F18" s="16"/>
      <c r="G18" s="16"/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4" ht="31.5" hidden="1" x14ac:dyDescent="0.25">
      <c r="A19" s="14" t="s">
        <v>20</v>
      </c>
      <c r="B19" s="14"/>
      <c r="C19" s="8"/>
      <c r="D19" s="47" t="e">
        <f t="shared" si="0"/>
        <v>#DIV/0!</v>
      </c>
      <c r="E19" s="15">
        <f t="shared" si="2"/>
        <v>0</v>
      </c>
      <c r="F19" s="16"/>
      <c r="G19" s="16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4" ht="20.25" x14ac:dyDescent="0.25">
      <c r="A20" s="22" t="s">
        <v>41</v>
      </c>
      <c r="B20" s="23">
        <f>SUM(B5:B16)</f>
        <v>1064</v>
      </c>
      <c r="C20" s="58">
        <f>SUM(C5:C16)</f>
        <v>239</v>
      </c>
      <c r="D20" s="75">
        <f t="shared" si="0"/>
        <v>0.35146443514644349</v>
      </c>
      <c r="E20" s="15">
        <f t="shared" si="2"/>
        <v>84</v>
      </c>
      <c r="F20" s="23">
        <f t="shared" ref="F20:W20" si="3">SUM(F5:F16)</f>
        <v>11</v>
      </c>
      <c r="G20" s="23">
        <f t="shared" si="3"/>
        <v>31</v>
      </c>
      <c r="H20" s="23">
        <f t="shared" si="3"/>
        <v>42</v>
      </c>
      <c r="I20" s="70">
        <f t="shared" si="3"/>
        <v>22</v>
      </c>
      <c r="J20" s="71">
        <f t="shared" si="3"/>
        <v>21</v>
      </c>
      <c r="K20" s="72">
        <f t="shared" si="3"/>
        <v>7</v>
      </c>
      <c r="L20" s="69">
        <f t="shared" si="3"/>
        <v>0</v>
      </c>
      <c r="M20" s="60">
        <f t="shared" si="3"/>
        <v>8</v>
      </c>
      <c r="N20" s="59">
        <f t="shared" si="3"/>
        <v>0</v>
      </c>
      <c r="O20" s="70">
        <f t="shared" si="3"/>
        <v>2</v>
      </c>
      <c r="P20" s="73">
        <f t="shared" si="3"/>
        <v>0</v>
      </c>
      <c r="Q20" s="74">
        <f t="shared" si="3"/>
        <v>4</v>
      </c>
      <c r="R20" s="68">
        <f t="shared" si="3"/>
        <v>2</v>
      </c>
      <c r="S20" s="72">
        <f t="shared" si="3"/>
        <v>2</v>
      </c>
      <c r="T20" s="72">
        <f t="shared" si="3"/>
        <v>0</v>
      </c>
      <c r="U20" s="74">
        <f t="shared" si="3"/>
        <v>2</v>
      </c>
      <c r="V20" s="69">
        <f t="shared" si="3"/>
        <v>10</v>
      </c>
      <c r="W20" s="69">
        <f t="shared" si="3"/>
        <v>4</v>
      </c>
      <c r="X20" s="38">
        <f>SUM(W5:W16)</f>
        <v>4</v>
      </c>
    </row>
    <row r="21" spans="1:24" ht="15.75" customHeight="1" x14ac:dyDescent="0.25">
      <c r="A21" s="1"/>
      <c r="B21" s="1"/>
      <c r="C21" s="1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4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W22">
        <f>SUM(I20:W20)</f>
        <v>84</v>
      </c>
    </row>
    <row r="23" spans="1:24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</sheetData>
  <mergeCells count="26">
    <mergeCell ref="L3:L4"/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W3:W4"/>
    <mergeCell ref="M3:M4"/>
    <mergeCell ref="A1:V1"/>
    <mergeCell ref="A2:A4"/>
    <mergeCell ref="B2:B4"/>
    <mergeCell ref="C2:C4"/>
    <mergeCell ref="D2:D4"/>
    <mergeCell ref="E2:H2"/>
    <mergeCell ref="I2:V2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zoomScale="90" zoomScaleNormal="90" workbookViewId="0">
      <selection activeCell="G7" sqref="G7"/>
    </sheetView>
  </sheetViews>
  <sheetFormatPr defaultRowHeight="15" x14ac:dyDescent="0.25"/>
  <cols>
    <col min="1" max="1" width="18.5703125" style="3" customWidth="1"/>
    <col min="2" max="13" width="9.7109375" style="3" customWidth="1"/>
    <col min="14" max="16384" width="9.140625" style="3"/>
  </cols>
  <sheetData>
    <row r="1" spans="1:15" ht="59.25" customHeight="1" x14ac:dyDescent="0.25">
      <c r="A1" s="202" t="s">
        <v>326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4"/>
    </row>
    <row r="2" spans="1:15" ht="47.25" customHeight="1" x14ac:dyDescent="0.25">
      <c r="A2" s="205" t="s">
        <v>48</v>
      </c>
      <c r="B2" s="206" t="s">
        <v>49</v>
      </c>
      <c r="C2" s="207" t="s">
        <v>50</v>
      </c>
      <c r="D2" s="208" t="s">
        <v>51</v>
      </c>
      <c r="E2" s="209" t="s">
        <v>52</v>
      </c>
      <c r="F2" s="209" t="s">
        <v>53</v>
      </c>
      <c r="G2" s="209" t="s">
        <v>54</v>
      </c>
      <c r="H2" s="210" t="s">
        <v>55</v>
      </c>
      <c r="I2" s="210" t="s">
        <v>85</v>
      </c>
      <c r="J2" s="210" t="s">
        <v>82</v>
      </c>
      <c r="K2" s="210" t="s">
        <v>83</v>
      </c>
      <c r="L2" s="210" t="s">
        <v>84</v>
      </c>
      <c r="M2" s="210" t="s">
        <v>68</v>
      </c>
      <c r="N2" s="210" t="s">
        <v>104</v>
      </c>
    </row>
    <row r="3" spans="1:15" ht="59.25" customHeight="1" x14ac:dyDescent="0.25">
      <c r="A3" s="205"/>
      <c r="B3" s="206"/>
      <c r="C3" s="207"/>
      <c r="D3" s="208"/>
      <c r="E3" s="209"/>
      <c r="F3" s="209"/>
      <c r="G3" s="209"/>
      <c r="H3" s="210"/>
      <c r="I3" s="210"/>
      <c r="J3" s="210"/>
      <c r="K3" s="210"/>
      <c r="L3" s="210"/>
      <c r="M3" s="210"/>
      <c r="N3" s="210"/>
    </row>
    <row r="4" spans="1:15" ht="30" x14ac:dyDescent="0.25">
      <c r="A4" s="18" t="s">
        <v>56</v>
      </c>
      <c r="B4" s="13">
        <f>COUNTIFS('Самопроверка по школам'!E2:E351,"Русский язык и литература")</f>
        <v>62</v>
      </c>
      <c r="C4" s="13">
        <f>'Результативность по предметам'!J20</f>
        <v>21</v>
      </c>
      <c r="D4" s="50">
        <f>C4/B4</f>
        <v>0.33870967741935482</v>
      </c>
      <c r="E4" s="13">
        <f>COUNTIFS('Самопроверка по школам'!J2:J351,"I",'Самопроверка по школам'!E2:E351,"Русский язык и литература")</f>
        <v>1</v>
      </c>
      <c r="F4" s="13">
        <f>COUNTIFS('Самопроверка по школам'!J2:J351,"II",'Самопроверка по школам'!E2:E351,"Русский язык и литература")</f>
        <v>6</v>
      </c>
      <c r="G4" s="44">
        <f>COUNTIFS('Самопроверка по школам'!J2:J351,"III",'Самопроверка по школам'!E2:E351,"Русский язык и литература")</f>
        <v>14</v>
      </c>
      <c r="H4" s="13">
        <f>COUNTIFS('Самопроверка по школам'!J2:J351,"п.л.",'Самопроверка по школам'!E2:E351,"Русский язык и литература")</f>
        <v>18</v>
      </c>
      <c r="I4" s="13">
        <f>COUNTIFS('Самопроверка по школам'!J2:J351,"I",'Самопроверка по школам'!E2:E351,"Русский язык и литература",'Самопроверка по школам'!F2:F351,4)+COUNTIFS('Самопроверка по школам'!J2:J351,"II",'Самопроверка по школам'!E2:E351,"Русский язык и литература",'Самопроверка по школам'!F2:F351,4)+COUNTIFS('Самопроверка по школам'!J2:J351,"III",'Самопроверка по школам'!E2:E351,"Русский язык и литература",'Самопроверка по школам'!F2:F351,4)</f>
        <v>8</v>
      </c>
      <c r="J4" s="13">
        <f>COUNTIFS('Самопроверка по школам'!J2:J351,"I",'Самопроверка по школам'!E2:E351,"Русский язык и литература",'Самопроверка по школам'!F2:F351,5)+COUNTIFS('Самопроверка по школам'!J2:J351,"II",'Самопроверка по школам'!E2:E351,"Русский язык и литература",'Самопроверка по школам'!F2:F351,5)+COUNTIFS('Самопроверка по школам'!J2:J351,"III",'Самопроверка по школам'!E2:E351,"Русский язык и литература",'Самопроверка по школам'!F2:F351,5)</f>
        <v>8</v>
      </c>
      <c r="K4" s="13">
        <f>COUNTIFS('Самопроверка по школам'!J2:J351,"I",'Самопроверка по школам'!E2:E351,"Русский язык и литература",'Самопроверка по школам'!F2:F351,6)+COUNTIFS('Самопроверка по школам'!J2:J351,"II",'Самопроверка по школам'!E2:E351,"Русский язык и литература",'Самопроверка по школам'!F2:F351,6)+COUNTIFS('Самопроверка по школам'!J2:J351,"III",'Самопроверка по школам'!E2:E351,"Русский язык и литература",'Самопроверка по школам'!F2:F351,6)</f>
        <v>2</v>
      </c>
      <c r="L4" s="13">
        <f>COUNTIFS('Самопроверка по школам'!$J$2:$J$351,"I",'Самопроверка по школам'!$E$2:$E$351,"Русский язык и литература",'Самопроверка по школам'!$F$2:$F$351,7)+COUNTIFS('Самопроверка по школам'!$J$2:$J$351,"II",'Самопроверка по школам'!$E$2:$E$351,"Русский язык и литература",'Самопроверка по школам'!$F$2:$F$351,7)+COUNTIFS('Самопроверка по школам'!$J$2:$J$351,"III",'Самопроверка по школам'!$E$2:$E$351,"Русский язык и литература",'Самопроверка по школам'!$F$2:$F$351,7)</f>
        <v>3</v>
      </c>
      <c r="M4" s="13">
        <f>COUNTIFS('Самопроверка по школам'!$J$2:$J$351,"I",'Самопроверка по школам'!$E$2:$E$351,"Русский язык и литература",'Самопроверка по школам'!$F$2:$F$351,8)+COUNTIFS('Самопроверка по школам'!$J$2:$J$351,"II",'Самопроверка по школам'!$E$2:$E$351,"Русский язык и литература",'Самопроверка по школам'!$F$2:$F$351,8)+COUNTIFS('Самопроверка по школам'!$J$2:$J$351,"III",'Самопроверка по школам'!$E$2:$E$351,"Русский язык и литература",'Самопроверка по школам'!$F$2:$F$351,8)</f>
        <v>0</v>
      </c>
      <c r="N4" s="13">
        <f>COUNTIFS('Самопроверка по школам'!$J$2:$J$351,"I",'Самопроверка по школам'!$E$2:$E$351,"Русский язык и литература",'Самопроверка по школам'!$F$2:$F$351,9)+COUNTIFS('Самопроверка по школам'!$J$2:$J$351,"II",'Самопроверка по школам'!$E$2:$E$351,"Русский язык и литература",'Самопроверка по школам'!$F$2:$F$351,9)+COUNTIFS('Самопроверка по школам'!$J$2:$J$351,"III",'Самопроверка по школам'!$E$2:$E$351,"Русский язык и литература",'Самопроверка по школам'!$F$2:$F$351,9)</f>
        <v>0</v>
      </c>
      <c r="O4" s="2">
        <f t="shared" ref="O4:O13" si="0">I4+J4+K4+L4+M4+N4</f>
        <v>21</v>
      </c>
    </row>
    <row r="5" spans="1:15" ht="30" x14ac:dyDescent="0.25">
      <c r="A5" s="18" t="s">
        <v>57</v>
      </c>
      <c r="B5" s="13">
        <f>COUNTIFS('Самопроверка по школам'!E2:E351,"бел.яз и лит.")</f>
        <v>53</v>
      </c>
      <c r="C5" s="13">
        <f>'Результативность по предметам'!I20</f>
        <v>22</v>
      </c>
      <c r="D5" s="50">
        <f t="shared" ref="D5:D19" si="1">C5/B5</f>
        <v>0.41509433962264153</v>
      </c>
      <c r="E5" s="13">
        <f>COUNTIFS('Самопроверка по школам'!J2:J351,"I",'Самопроверка по школам'!E2:E351,"бел.яз и лит.")</f>
        <v>4</v>
      </c>
      <c r="F5" s="13">
        <f>COUNTIFS('Самопроверка по школам'!J2:J351,"II",'Самопроверка по школам'!E2:E351,"бел.яз и лит.")</f>
        <v>11</v>
      </c>
      <c r="G5" s="13">
        <f>COUNTIFS('Самопроверка по школам'!J2:J351,"III",'Самопроверка по школам'!E2:E351,"бел.яз и лит.")</f>
        <v>7</v>
      </c>
      <c r="H5" s="13">
        <f>COUNTIFS('Самопроверка по школам'!J2:J351,"п.л.",'Самопроверка по школам'!E2:E351,"бел.яз и лит.")</f>
        <v>13</v>
      </c>
      <c r="I5" s="13">
        <f>COUNTIFS('Самопроверка по школам'!J2:J351,"I",'Самопроверка по школам'!E2:E351,"бел.яз и лит.",'Самопроверка по школам'!F2:F351,4)+COUNTIFS('Самопроверка по школам'!J2:J351,"II",'Самопроверка по школам'!E2:E351,"бел.яз и лит.",'Самопроверка по школам'!F2:F351,4)+COUNTIFS('Самопроверка по школам'!J2:J351,"III",'Самопроверка по школам'!E2:E351,"бел.яз и лит.",'Самопроверка по школам'!F2:F351,4)</f>
        <v>9</v>
      </c>
      <c r="J5" s="13">
        <f>COUNTIFS('Самопроверка по школам'!J2:J351,"I",'Самопроверка по школам'!E2:E351,"бел.яз и лит.",'Самопроверка по школам'!F2:F351,5)+COUNTIFS('Самопроверка по школам'!J2:J351,"II",'Самопроверка по школам'!E2:E351,"бел.яз и лит.",'Самопроверка по школам'!F2:F351,5)+COUNTIFS('Самопроверка по школам'!J2:J351,"III",'Самопроверка по школам'!E2:E351,"бел.яз и лит.",'Самопроверка по школам'!F2:F351,5)</f>
        <v>10</v>
      </c>
      <c r="K5" s="13">
        <f>COUNTIFS('Самопроверка по школам'!J2:J351,"I",'Самопроверка по школам'!E2:E351,"бел.яз и лит.",'Самопроверка по школам'!F2:F351,6)+COUNTIFS('Самопроверка по школам'!J2:J351,"II",'Самопроверка по школам'!E2:E351,"бел.яз и лит.",'Самопроверка по школам'!F2:F351,6)+COUNTIFS('Самопроверка по школам'!J2:J351,"III",'Самопроверка по школам'!E2:E351,"бел.яз и лит.",'Самопроверка по школам'!F2:F351,6)</f>
        <v>3</v>
      </c>
      <c r="L5" s="13">
        <f>COUNTIFS('Самопроверка по школам'!$J$2:$J$351,"I",'Самопроверка по школам'!$E$2:$E$351,"бел.яз и лит.",'Самопроверка по школам'!$F$2:$F$351,7)+COUNTIFS('Самопроверка по школам'!$J$2:$J$351,"II",'Самопроверка по школам'!$E$2:$E$351,"бел.яз и лит.",'Самопроверка по школам'!$F$2:$F$351,7)+COUNTIFS('Самопроверка по школам'!$J$2:$J$351,"III",'Самопроверка по школам'!$E$2:$E$351,"бел.яз и лит.",'Самопроверка по школам'!$F$2:$F$351,7)</f>
        <v>0</v>
      </c>
      <c r="M5" s="13">
        <f>COUNTIFS('Самопроверка по школам'!$J$2:$J$351,"I",'Самопроверка по школам'!$E$2:$E$351,"бел.яз и лит.",'Самопроверка по школам'!$F$2:$F$351,8)+COUNTIFS('Самопроверка по школам'!$J$2:$J$351,"II",'Самопроверка по школам'!$E$2:$E$351,"бел.яз и лит.",'Самопроверка по школам'!$F$2:$F$351,8)+COUNTIFS('Самопроверка по школам'!$J$2:$J$351,"III",'Самопроверка по школам'!$E$2:$E$351,"бел.яз и лит.",'Самопроверка по школам'!$F$2:$F$351,8)</f>
        <v>0</v>
      </c>
      <c r="N5" s="13">
        <f>COUNTIFS('Самопроверка по школам'!$J$2:$J$351,"I",'Самопроверка по школам'!$E$2:$E$351,"бел.яз и лит.",'Самопроверка по школам'!$F$2:$F$351,9)+COUNTIFS('Самопроверка по школам'!$J$2:$J$351,"II",'Самопроверка по школам'!$E$2:$E$351,"бел.яз и лит.",'Самопроверка по школам'!$F$2:$F$351,9)+COUNTIFS('Самопроверка по школам'!$J$2:$J$351,"III",'Самопроверка по школам'!$E$2:$E$351,"бел.яз и лит.",'Самопроверка по школам'!$F$2:$F$351,9)</f>
        <v>0</v>
      </c>
      <c r="O5" s="2">
        <f t="shared" si="0"/>
        <v>22</v>
      </c>
    </row>
    <row r="6" spans="1:15" ht="30" x14ac:dyDescent="0.25">
      <c r="A6" s="18" t="s">
        <v>58</v>
      </c>
      <c r="B6" s="13">
        <f>COUNTIFS('Самопроверка по школам'!E2:E351,"Английский язык")+COUNTIFS('Самопроверка по школам'!E2:E351,"нем.яз.")</f>
        <v>11</v>
      </c>
      <c r="C6" s="13">
        <f>'Результативность по предметам'!K20+'Результативность по предметам'!L20</f>
        <v>7</v>
      </c>
      <c r="D6" s="50">
        <f t="shared" si="1"/>
        <v>0.63636363636363635</v>
      </c>
      <c r="E6" s="13">
        <f>COUNTIFS('Самопроверка по школам'!J2:J351,"I",'Самопроверка по школам'!E2:E351,"Английский язык")+COUNTIFS('Самопроверка по школам'!J2:J351,"I",'Самопроверка по школам'!E2:E351,"нем.яз.")</f>
        <v>1</v>
      </c>
      <c r="F6" s="13">
        <f>COUNTIFS('Самопроверка по школам'!J2:J351,"II",'Самопроверка по школам'!E2:E351,"Английский язык")+COUNTIFS('Самопроверка по школам'!J2:J351,"II",'Самопроверка по школам'!E2:E351,"нем.яз.")</f>
        <v>1</v>
      </c>
      <c r="G6" s="13">
        <f>COUNTIFS('Самопроверка по школам'!J2:J351,"III",'Самопроверка по школам'!E2:E351,"Английский язык")+COUNTIFS('Самопроверка по школам'!J2:J351,"III",'Самопроверка по школам'!E2:E351,"нем.яз.")</f>
        <v>5</v>
      </c>
      <c r="H6" s="13">
        <f>COUNTIFS('Самопроверка по школам'!J2:J351,"п.л.",'Самопроверка по школам'!E2:E351,"Английский язык")+COUNTIFS('Самопроверка по школам'!J2:J351,"п.л.",'Самопроверка по школам'!E2:E351,"нем.яз.")</f>
        <v>1</v>
      </c>
      <c r="I6" s="13">
        <f>COUNTIFS('Самопроверка по школам'!$J$2:$J$351,"I",'Самопроверка по школам'!$E$2:$E$351,"Английский язык",'Самопроверка по школам'!$F$2:$F$351,4)+COUNTIFS('Самопроверка по школам'!$J$2:$J$351,"II",'Самопроверка по школам'!$E$2:$E$351,"Английский язык",'Самопроверка по школам'!$F$2:$F$351,4)+COUNTIFS('Самопроверка по школам'!$J$2:$J$351,"III",'Самопроверка по школам'!$E$2:$E$351,"Английский язык",'Самопроверка по школам'!$F$2:$F$351,4)+COUNTIFS('Самопроверка по школам'!$J$2:$J$351,"I",'Самопроверка по школам'!$E$2:$E$351,"нем.яз.",'Самопроверка по школам'!$F$2:$F$351,4)+COUNTIFS('Самопроверка по школам'!$J$2:$J$351,"II",'Самопроверка по школам'!$E$2:$E$351,"нем.яз.",'Самопроверка по школам'!$F$2:$F$351,4)+COUNTIFS('Самопроверка по школам'!$J$2:$J$351,"III",'Самопроверка по школам'!$E$2:$E$351,"нем.яз.",'Самопроверка по школам'!$F$2:$F$351,4)</f>
        <v>0</v>
      </c>
      <c r="J6" s="13">
        <f>COUNTIFS('Самопроверка по школам'!$J$2:$J$351,"I",'Самопроверка по школам'!$E$2:$E$351,"Английский язык",'Самопроверка по школам'!$F$2:$F$351,5)+COUNTIFS('Самопроверка по школам'!$J$2:$J$351,"II",'Самопроверка по школам'!$E$2:$E$351,"Английский язык",'Самопроверка по школам'!$F$2:$F$351,5)+COUNTIFS('Самопроверка по школам'!$J$2:$J$351,"III",'Самопроверка по школам'!$E$2:$E$351,"Английский язык",'Самопроверка по школам'!$F$2:$F$351,5)+COUNTIFS('Самопроверка по школам'!$J$2:$J$351,"I",'Самопроверка по школам'!$E$2:$E$351,"нем.яз.",'Самопроверка по школам'!$F$2:$F$351,5)+COUNTIFS('Самопроверка по школам'!$J$2:$J$351,"II",'Самопроверка по школам'!$E$2:$E$351,"нем.яз.",'Самопроверка по школам'!$F$2:$F$351,5)+COUNTIFS('Самопроверка по школам'!$J$2:$J$351,"III",'Самопроверка по школам'!$E$2:$E$351,"нем.яз.",'Самопроверка по школам'!$F$2:$F$351,5)</f>
        <v>0</v>
      </c>
      <c r="K6" s="13">
        <f>COUNTIFS('Самопроверка по школам'!$J$2:$J$351,"I",'Самопроверка по школам'!$E$2:$E$351,"Английский язык",'Самопроверка по школам'!$F$2:$F$351,6)+COUNTIFS('Самопроверка по школам'!$J$2:$J$351,"II",'Самопроверка по школам'!$E$2:$E$351,"Английский язык",'Самопроверка по школам'!$F$2:$F$351,6)+COUNTIFS('Самопроверка по школам'!$J$2:$J$351,"III",'Самопроверка по школам'!$E$2:$E$351,"Английский язык",'Самопроверка по школам'!$F$2:$F$351,6)+COUNTIFS('Самопроверка по школам'!$J$2:$J$351,"I",'Самопроверка по школам'!$E$2:$E$351,"нем.яз.",'Самопроверка по школам'!$F$2:$F$351,6)+COUNTIFS('Самопроверка по школам'!$J$2:$J$351,"II",'Самопроверка по школам'!$E$2:$E$351,"нем.яз.",'Самопроверка по школам'!$F$2:$F$351,6)+COUNTIFS('Самопроверка по школам'!$J$2:$J$351,"III",'Самопроверка по школам'!$E$2:$E$351,"нем.яз.",'Самопроверка по школам'!$F$2:$F$351,6)</f>
        <v>2</v>
      </c>
      <c r="L6" s="13">
        <f>COUNTIFS('Самопроверка по школам'!$J$2:$J$351,"I",'Самопроверка по школам'!$E$2:$E$351,"Английский язык",'Самопроверка по школам'!$F$2:$F$351,7)+COUNTIFS('Самопроверка по школам'!$J$2:$J$351,"II",'Самопроверка по школам'!$E$2:$E$351,"Английский язык",'Самопроверка по школам'!$F$2:$F$351,7)+COUNTIFS('Самопроверка по школам'!$J$2:$J$351,"III",'Самопроверка по школам'!$E$2:$E$351,"Английский язык",'Самопроверка по школам'!$F$2:$F$351,7)+COUNTIFS('Самопроверка по школам'!$J$2:$J$351,"I",'Самопроверка по школам'!$E$2:$E$351,"нем.яз.",'Самопроверка по школам'!$F$2:$F$351,7)+COUNTIFS('Самопроверка по школам'!$J$2:$J$351,"II",'Самопроверка по школам'!$E$2:$E$351,"нем.яз.",'Самопроверка по школам'!$F$2:$F$351,7)+COUNTIFS('Самопроверка по школам'!$J$2:$J$351,"III",'Самопроверка по школам'!$E$2:$E$351,"нем.яз.",'Самопроверка по школам'!$F$2:$F$351,7)</f>
        <v>4</v>
      </c>
      <c r="M6" s="13">
        <f>COUNTIFS('Самопроверка по школам'!$J$2:$J$351,"I",'Самопроверка по школам'!$E$2:$E$351,"Английский язык",'Самопроверка по школам'!$F$2:$F$351,8)+COUNTIFS('Самопроверка по школам'!$J$2:$J$351,"II",'Самопроверка по школам'!$E$2:$E$351,"Английский язык",'Самопроверка по школам'!$F$2:$F$351,8)+COUNTIFS('Самопроверка по школам'!$J$2:$J$351,"III",'Самопроверка по школам'!$E$2:$E$351,"Английский язык",'Самопроверка по школам'!$F$2:$F$351,8)+COUNTIFS('Самопроверка по школам'!$J$2:$J$351,"I",'Самопроверка по школам'!$E$2:$E$351,"нем.яз.",'Самопроверка по школам'!$F$2:$F$351,8)+COUNTIFS('Самопроверка по школам'!$J$2:$J$351,"II",'Самопроверка по школам'!$E$2:$E$351,"нем.яз.",'Самопроверка по школам'!$F$2:$F$351,8)+COUNTIFS('Самопроверка по школам'!$J$2:$J$351,"III",'Самопроверка по школам'!$E$2:$E$351,"нем.яз.",'Самопроверка по школам'!$F$2:$F$351,8)</f>
        <v>1</v>
      </c>
      <c r="N6" s="13">
        <f>COUNTIFS('Самопроверка по школам'!$J$2:$J$351,"I",'Самопроверка по школам'!$E$2:$E$351,"Английский язык",'Самопроверка по школам'!$F$2:$F$351,9)+COUNTIFS('Самопроверка по школам'!$J$2:$J$351,"II",'Самопроверка по школам'!$E$2:$E$351,"Английский язык",'Самопроверка по школам'!$F$2:$F$351,9)+COUNTIFS('Самопроверка по школам'!$J$2:$J$351,"III",'Самопроверка по школам'!$E$2:$E$351,"Английский язык",'Самопроверка по школам'!$F$2:$F$351,9)+COUNTIFS('Самопроверка по школам'!$J$2:$J$351,"I",'Самопроверка по школам'!$E$2:$E$351,"нем.яз.",'Самопроверка по школам'!$F$2:$F$351,9)+COUNTIFS('Самопроверка по школам'!$J$2:$J$351,"II",'Самопроверка по школам'!$E$2:$E$351,"нем.яз.",'Самопроверка по школам'!$F$2:$F$351,9)+COUNTIFS('Самопроверка по школам'!$J$2:$J$351,"III",'Самопроверка по школам'!$E$2:$E$351,"нем.яз.",'Самопроверка по школам'!$F$2:$F$351,9)</f>
        <v>0</v>
      </c>
      <c r="O6" s="2">
        <f t="shared" si="0"/>
        <v>7</v>
      </c>
    </row>
    <row r="7" spans="1:15" x14ac:dyDescent="0.25">
      <c r="A7" s="18" t="s">
        <v>59</v>
      </c>
      <c r="B7" s="13">
        <f>COUNTIFS('Самопроверка по школам'!E2:E351,"математика")</f>
        <v>36</v>
      </c>
      <c r="C7" s="13">
        <f>'Результативность по предметам'!M20</f>
        <v>8</v>
      </c>
      <c r="D7" s="50">
        <f t="shared" si="1"/>
        <v>0.22222222222222221</v>
      </c>
      <c r="E7" s="13">
        <f>COUNTIFS('Самопроверка по школам'!J2:J351,"I",'Самопроверка по школам'!E2:E351,"математика")</f>
        <v>1</v>
      </c>
      <c r="F7" s="13">
        <f>COUNTIFS('Самопроверка по школам'!J2:J351,"II",'Самопроверка по школам'!E2:E351,"математика")</f>
        <v>2</v>
      </c>
      <c r="G7" s="13">
        <f>COUNTIFS('Самопроверка по школам'!J2:J351,"III",'Самопроверка по школам'!E2:E351,"математика")</f>
        <v>5</v>
      </c>
      <c r="H7" s="13">
        <f>COUNTIFS('Самопроверка по школам'!J2:J351,"п.л.",'Самопроверка по школам'!E2:E351,"математика")</f>
        <v>8</v>
      </c>
      <c r="I7" s="13">
        <f>COUNTIFS('Самопроверка по школам'!J2:J351,"I",'Самопроверка по школам'!E2:E351,"математика",'Самопроверка по школам'!F2:F351,4)+COUNTIFS('Самопроверка по школам'!J2:J351,"II",'Самопроверка по школам'!E2:E351,"математика",'Самопроверка по школам'!F2:F351,4)+COUNTIFS('Самопроверка по школам'!J2:J351,"III",'Самопроверка по школам'!E2:E351,"математика",'Самопроверка по школам'!F2:F351,4)</f>
        <v>4</v>
      </c>
      <c r="J7" s="13">
        <f>COUNTIFS('Самопроверка по школам'!J2:J351,"I",'Самопроверка по школам'!E2:E351,"математика",'Самопроверка по школам'!F2:F351,5)+COUNTIFS('Самопроверка по школам'!J2:J351,"II",'Самопроверка по школам'!E2:E351,"математика",'Самопроверка по школам'!F2:F351,5)+COUNTIFS('Самопроверка по школам'!J2:J351,"III",'Самопроверка по школам'!E2:E351,"математика",'Самопроверка по школам'!F2:F351,5)</f>
        <v>3</v>
      </c>
      <c r="K7" s="13">
        <f>COUNTIFS('Самопроверка по школам'!J2:J351,"I",'Самопроверка по школам'!E2:E351,"математика",'Самопроверка по школам'!F2:F351,6)+COUNTIFS('Самопроверка по школам'!J2:J351,"II",'Самопроверка по школам'!E2:E351,"математика",'Самопроверка по школам'!F2:F351,6)+COUNTIFS('Самопроверка по школам'!J2:J351,"III",'Самопроверка по школам'!E2:E351,"математика",'Самопроверка по школам'!F2:F351,6)</f>
        <v>0</v>
      </c>
      <c r="L7" s="13">
        <f>COUNTIFS('Самопроверка по школам'!$J$2:$J$351,"I",'Самопроверка по школам'!$E$2:$E$351,"математика",'Самопроверка по школам'!$F$2:$F$351,7)+COUNTIFS('Самопроверка по школам'!$J$2:$J$351,"II",'Самопроверка по школам'!$E$2:$E$351,"математика",'Самопроверка по школам'!$F$2:$F$351,7)+COUNTIFS('Самопроверка по школам'!$J$2:$J$351,"III",'Самопроверка по школам'!$E$2:$E$351,"математика",'Самопроверка по школам'!$F$2:$F$351,7)</f>
        <v>1</v>
      </c>
      <c r="M7" s="13">
        <f>COUNTIFS('Самопроверка по школам'!$J$2:$J$351,"I",'Самопроверка по школам'!$E$2:$E$351,"математика",'Самопроверка по школам'!$F$2:$F$351,8)+COUNTIFS('Самопроверка по школам'!$J$2:$J$351,"II",'Самопроверка по школам'!$E$2:$E$351,"математика",'Самопроверка по школам'!$F$2:$F$351,8)+COUNTIFS('Самопроверка по школам'!$J$2:$J$351,"III",'Самопроверка по школам'!$E$2:$E$351,"математика",'Самопроверка по школам'!$F$2:$F$351,8)</f>
        <v>0</v>
      </c>
      <c r="N7" s="13">
        <f>COUNTIFS('Самопроверка по школам'!$J$2:$J$351,"I",'Самопроверка по школам'!$E$2:$E$351,"математика",'Самопроверка по школам'!$F$2:$F$351,9)+COUNTIFS('Самопроверка по школам'!$J$2:$J$351,"II",'Самопроверка по школам'!$E$2:$E$351,"математика",'Самопроверка по школам'!$F$2:$F$351,9)+COUNTIFS('Самопроверка по школам'!$J$2:$J$351,"III",'Самопроверка по школам'!$E$2:$E$351,"математика",'Самопроверка по школам'!$F$2:$F$351,9)</f>
        <v>0</v>
      </c>
      <c r="O7" s="2">
        <f t="shared" si="0"/>
        <v>8</v>
      </c>
    </row>
    <row r="8" spans="1:15" x14ac:dyDescent="0.25">
      <c r="A8" s="18" t="s">
        <v>60</v>
      </c>
      <c r="B8" s="13">
        <f>COUNTIFS('Самопроверка по школам'!E2:E351,"физика")</f>
        <v>4</v>
      </c>
      <c r="C8" s="13">
        <f>'Результативность по предметам'!S20</f>
        <v>2</v>
      </c>
      <c r="D8" s="50">
        <f t="shared" si="1"/>
        <v>0.5</v>
      </c>
      <c r="E8" s="13">
        <f>COUNTIFS('Самопроверка по школам'!J2:J351,"I",'Самопроверка по школам'!E2:E351,"физика")</f>
        <v>0</v>
      </c>
      <c r="F8" s="13">
        <f>COUNTIFS('Самопроверка по школам'!J2:J351,"II",'Самопроверка по школам'!E2:E351,"физика")</f>
        <v>1</v>
      </c>
      <c r="G8" s="13">
        <f>COUNTIFS('Самопроверка по школам'!J2:J351,"III",'Самопроверка по школам'!E2:E351,"физика")</f>
        <v>1</v>
      </c>
      <c r="H8" s="13">
        <f>COUNTIFS('Самопроверка по школам'!J2:J351,"п.л.",'Самопроверка по школам'!E2:E351,"физика")</f>
        <v>0</v>
      </c>
      <c r="I8" s="13">
        <f>COUNTIFS('Самопроверка по школам'!J2:J351,"I",'Самопроверка по школам'!E2:E351,"физика",'Самопроверка по школам'!F2:F351,4)+COUNTIFS('Самопроверка по школам'!J2:J351,"II",'Самопроверка по школам'!E2:E351,"физика",'Самопроверка по школам'!F2:F351,4)+COUNTIFS('Самопроверка по школам'!J2:J351,"III",'Самопроверка по школам'!E2:E351,"физика",'Самопроверка по школам'!F2:F351,4)</f>
        <v>0</v>
      </c>
      <c r="J8" s="13">
        <f>COUNTIFS('Самопроверка по школам'!J2:J351,"I",'Самопроверка по школам'!E2:E351,"физика",'Самопроверка по школам'!F2:F351,5)+COUNTIFS('Самопроверка по школам'!J2:J351,"II",'Самопроверка по школам'!E2:E351,"физика",'Самопроверка по школам'!F2:F351,5)+COUNTIFS('Самопроверка по школам'!J2:J351,"III",'Самопроверка по школам'!E2:E351,"физика",'Самопроверка по школам'!F2:F351,5)</f>
        <v>0</v>
      </c>
      <c r="K8" s="13">
        <f>COUNTIFS('Самопроверка по школам'!J2:J351,"I",'Самопроверка по школам'!E2:E351,"физика",'Самопроверка по школам'!F2:F351,6)+COUNTIFS('Самопроверка по школам'!J2:J351,"II",'Самопроверка по школам'!E2:E351,"физика",'Самопроверка по школам'!F2:F351,6)+COUNTIFS('Самопроверка по школам'!J2:J351,"III",'Самопроверка по школам'!E2:E351,"физика",'Самопроверка по школам'!F2:F351,6)</f>
        <v>0</v>
      </c>
      <c r="L8" s="13">
        <f>COUNTIFS('Самопроверка по школам'!$J$2:$J$351,"I",'Самопроверка по школам'!$E$2:$E$351,"физика",'Самопроверка по школам'!$F$2:$F$351,7)+COUNTIFS('Самопроверка по школам'!$J$2:$J$351,"II",'Самопроверка по школам'!$E$2:$E$351,"физика",'Самопроверка по школам'!$F$2:$F$351,7)+COUNTIFS('Самопроверка по школам'!$J$2:$J$351,"III",'Самопроверка по школам'!$E$2:$E$351,"физика",'Самопроверка по школам'!$F$2:$F$351,7)</f>
        <v>2</v>
      </c>
      <c r="M8" s="13">
        <f>COUNTIFS('Самопроверка по школам'!$J$2:$J$351,"I",'Самопроверка по школам'!$E$2:$E$351,"физика",'Самопроверка по школам'!$F$2:$F$351,8)+COUNTIFS('Самопроверка по школам'!$J$2:$J$351,"II",'Самопроверка по школам'!$E$2:$E$351,"физика",'Самопроверка по школам'!$F$2:$F$351,8)+COUNTIFS('Самопроверка по школам'!$J$2:$J$351,"III",'Самопроверка по школам'!$E$2:$E$351,"физика",'Самопроверка по школам'!$F$2:$F$351,8)</f>
        <v>0</v>
      </c>
      <c r="N8" s="13">
        <f>COUNTIFS('Самопроверка по школам'!$J$2:$J$351,"I",'Самопроверка по школам'!$E$2:$E$351,"физика",'Самопроверка по школам'!$F$2:$F$351,9)+COUNTIFS('Самопроверка по школам'!$J$2:$J$351,"II",'Самопроверка по школам'!$E$2:$E$351,"физика",'Самопроверка по школам'!$F$2:$F$351,9)+COUNTIFS('Самопроверка по школам'!$J$2:$J$351,"III",'Самопроверка по школам'!$E$2:$E$351,"физика",'Самопроверка по школам'!$F$2:$F$351,9)</f>
        <v>0</v>
      </c>
      <c r="O8" s="2">
        <f t="shared" si="0"/>
        <v>2</v>
      </c>
    </row>
    <row r="9" spans="1:15" x14ac:dyDescent="0.25">
      <c r="A9" s="18" t="s">
        <v>61</v>
      </c>
      <c r="B9" s="13">
        <f>COUNTIFS('Самопроверка по школам'!E2:E351,"информатика")</f>
        <v>0</v>
      </c>
      <c r="C9" s="13">
        <f>'Результативность по предметам'!N20</f>
        <v>0</v>
      </c>
      <c r="D9" s="50" t="e">
        <f t="shared" si="1"/>
        <v>#DIV/0!</v>
      </c>
      <c r="E9" s="13">
        <f>COUNTIFS('Самопроверка по школам'!J2:J351,"I",'Самопроверка по школам'!E2:E351,"информатика")</f>
        <v>0</v>
      </c>
      <c r="F9" s="13">
        <f>COUNTIFS('Самопроверка по школам'!J2:J351,"II",'Самопроверка по школам'!E2:E351,"информатика")</f>
        <v>0</v>
      </c>
      <c r="G9" s="13">
        <f>COUNTIFS('Самопроверка по школам'!J2:J351,"III",'Самопроверка по школам'!E2:E351,"информатика")</f>
        <v>0</v>
      </c>
      <c r="H9" s="13">
        <f>COUNTIFS('Самопроверка по школам'!J2:J351,"п.л.",'Самопроверка по школам'!E2:E351,"информатика")</f>
        <v>0</v>
      </c>
      <c r="I9" s="13"/>
      <c r="J9" s="13">
        <f>COUNTIFS('Самопроверка по школам'!J2:J351,"I",'Самопроверка по школам'!E2:E351,"информатика",'Самопроверка по школам'!F2:F351,5)+COUNTIFS('Самопроверка по школам'!J2:J351,"II",'Самопроверка по школам'!E2:E351,"информатика",'Самопроверка по школам'!F2:F351,5)+COUNTIFS('Самопроверка по школам'!J2:J351,"III",'Самопроверка по школам'!E2:E351,"информатика",'Самопроверка по школам'!F2:F351,5)</f>
        <v>0</v>
      </c>
      <c r="K9" s="13">
        <f>COUNTIFS('Самопроверка по школам'!J2:J351,"I",'Самопроверка по школам'!E2:E351,"информатика",'Самопроверка по школам'!F2:F351,6)+COUNTIFS('Самопроверка по школам'!J2:J351,"II",'Самопроверка по школам'!E2:E351,"информатика",'Самопроверка по школам'!F2:F351,6)+COUNTIFS('Самопроверка по школам'!J2:J351,"III",'Самопроверка по школам'!E2:E351,"информатика",'Самопроверка по школам'!F2:F351,6)</f>
        <v>0</v>
      </c>
      <c r="L9" s="13">
        <f>COUNTIFS('Самопроверка по школам'!$J$2:$J$351,"I",'Самопроверка по школам'!$E$2:$E$351,"информатика",'Самопроверка по школам'!$F$2:$F$351,7)+COUNTIFS('Самопроверка по школам'!$J$2:$J$351,"II",'Самопроверка по школам'!$E$2:$E$351,"информатика",'Самопроверка по школам'!$F$2:$F$351,7)+COUNTIFS('Самопроверка по школам'!$J$2:$J$351,"III",'Самопроверка по школам'!$E$2:$E$351,"информатика",'Самопроверка по школам'!$F$2:$F$351,7)</f>
        <v>0</v>
      </c>
      <c r="M9" s="13">
        <f>COUNTIFS('Самопроверка по школам'!$J$2:$J$351,"I",'Самопроверка по школам'!$E$2:$E$351,"информатика",'Самопроверка по школам'!$F$2:$F$351,8)+COUNTIFS('Самопроверка по школам'!$J$2:$J$351,"II",'Самопроверка по школам'!$E$2:$E$351,"информатика",'Самопроверка по школам'!$F$2:$F$351,8)+COUNTIFS('Самопроверка по школам'!$J$2:$J$351,"III",'Самопроверка по школам'!$E$2:$E$351,"информатика",'Самопроверка по школам'!$F$2:$F$351,8)</f>
        <v>0</v>
      </c>
      <c r="N9" s="13">
        <f>COUNTIFS('Самопроверка по школам'!$J$2:$J$351,"I",'Самопроверка по школам'!$E$2:$E$351,"информатика",'Самопроверка по школам'!$F$2:$F$351,9)+COUNTIFS('Самопроверка по школам'!$J$2:$J$351,"II",'Самопроверка по школам'!$E$2:$E$351,"информатика",'Самопроверка по школам'!$F$2:$F$351,9)+COUNTIFS('Самопроверка по школам'!$J$2:$J$351,"III",'Самопроверка по школам'!$E$2:$E$351,"информатика",'Самопроверка по школам'!$F$2:$F$351,9)</f>
        <v>0</v>
      </c>
      <c r="O9" s="2">
        <f t="shared" si="0"/>
        <v>0</v>
      </c>
    </row>
    <row r="10" spans="1:15" x14ac:dyDescent="0.25">
      <c r="A10" s="18" t="s">
        <v>62</v>
      </c>
      <c r="B10" s="13">
        <f>COUNTIFS('Самопроверка по школам'!E2:E351,"астрономия")</f>
        <v>0</v>
      </c>
      <c r="C10" s="13">
        <f>'Результативность по предметам'!T20</f>
        <v>0</v>
      </c>
      <c r="D10" s="50" t="e">
        <f t="shared" si="1"/>
        <v>#DIV/0!</v>
      </c>
      <c r="E10" s="13">
        <f>COUNTIFS('Самопроверка по школам'!J2:J351,"I",'Самопроверка по школам'!E2:E351,"астрономия")</f>
        <v>0</v>
      </c>
      <c r="F10" s="13">
        <f>COUNTIFS('Самопроверка по школам'!J2:J351,"II",'Самопроверка по школам'!E2:E351,"астрономия")</f>
        <v>0</v>
      </c>
      <c r="G10" s="13">
        <f>COUNTIFS('Самопроверка по школам'!J2:J351,"III",'Самопроверка по школам'!E2:E351,"астрономия")</f>
        <v>0</v>
      </c>
      <c r="H10" s="13">
        <f>COUNTIFS('Самопроверка по школам'!J2:J351,"п.л.",'Самопроверка по школам'!E2:E351,"астрономия")</f>
        <v>0</v>
      </c>
      <c r="I10" s="13"/>
      <c r="J10" s="13">
        <f>COUNTIFS('Самопроверка по школам'!J2:J351,"I",'Самопроверка по школам'!E2:E351,"астрономия",'Самопроверка по школам'!F2:F351,5)+COUNTIFS('Самопроверка по школам'!J2:J351,"II",'Самопроверка по школам'!E2:E351,"астрономия",'Самопроверка по школам'!F2:F351,5)+COUNTIFS('Самопроверка по школам'!J2:J351,"III",'Самопроверка по школам'!E2:E351,"астрономия",'Самопроверка по школам'!F2:F351,5)</f>
        <v>0</v>
      </c>
      <c r="K10" s="13">
        <f>COUNTIFS('Самопроверка по школам'!J2:J351,"I",'Самопроверка по школам'!E2:E351,"астрономия",'Самопроверка по школам'!F2:F351,6)+COUNTIFS('Самопроверка по школам'!J2:J351,"II",'Самопроверка по школам'!E2:E351,"астрономия",'Самопроверка по школам'!F2:F351,6)+COUNTIFS('Самопроверка по школам'!J2:J351,"III",'Самопроверка по школам'!E2:E351,"астрономия",'Самопроверка по школам'!F2:F351,6)</f>
        <v>0</v>
      </c>
      <c r="L10" s="13">
        <f>COUNTIFS('Самопроверка по школам'!$J$2:$J$351,"I",'Самопроверка по школам'!$E$2:$E$351,"астрономия",'Самопроверка по школам'!$F$2:$F$351,7)+COUNTIFS('Самопроверка по школам'!$J$2:$J$351,"II",'Самопроверка по школам'!$E$2:$E$351,"астрономия",'Самопроверка по школам'!$F$2:$F$351,7)+COUNTIFS('Самопроверка по школам'!$J$2:$J$351,"III",'Самопроверка по школам'!$E$2:$E$351,"астрономия",'Самопроверка по школам'!$F$2:$F$351,7)</f>
        <v>0</v>
      </c>
      <c r="M10" s="13">
        <f>COUNTIFS('Самопроверка по школам'!$J$2:$J$351,"I",'Самопроверка по школам'!$E$2:$E$351,"астрономия",'Самопроверка по школам'!$F$2:$F$351,8)+COUNTIFS('Самопроверка по школам'!$J$2:$J$351,"II",'Самопроверка по школам'!$E$2:$E$351,"астрономия",'Самопроверка по школам'!$F$2:$F$351,8)+COUNTIFS('Самопроверка по школам'!$J$2:$J$351,"III",'Самопроверка по школам'!$E$2:$E$351,"астрономия",'Самопроверка по школам'!$F$2:$F$351,8)</f>
        <v>0</v>
      </c>
      <c r="N10" s="13">
        <f>COUNTIFS('Самопроверка по школам'!$J$2:$J$351,"I",'Самопроверка по школам'!$E$2:$E$351,"астрономия",'Самопроверка по школам'!$F$2:$F$351,9)+COUNTIFS('Самопроверка по школам'!$J$2:$J$351,"II",'Самопроверка по школам'!$E$2:$E$351,"астрономия",'Самопроверка по школам'!$F$2:$F$351,9)+COUNTIFS('Самопроверка по школам'!$J$2:$J$351,"III",'Самопроверка по школам'!$E$2:$E$351,"астрономия",'Самопроверка по школам'!$F$2:$F$351,9)</f>
        <v>0</v>
      </c>
      <c r="O10" s="2">
        <f t="shared" si="0"/>
        <v>0</v>
      </c>
    </row>
    <row r="11" spans="1:15" x14ac:dyDescent="0.25">
      <c r="A11" s="18" t="s">
        <v>63</v>
      </c>
      <c r="B11" s="13">
        <f>COUNTIFS('Самопроверка по школам'!E2:E351,"биология")</f>
        <v>9</v>
      </c>
      <c r="C11" s="13">
        <f>'Результативность по предметам'!R20</f>
        <v>2</v>
      </c>
      <c r="D11" s="50">
        <f t="shared" si="1"/>
        <v>0.22222222222222221</v>
      </c>
      <c r="E11" s="13">
        <f>COUNTIFS('Самопроверка по школам'!J2:J351,"I",'Самопроверка по школам'!E2:E351,"биология")</f>
        <v>0</v>
      </c>
      <c r="F11" s="13">
        <f>COUNTIFS('Самопроверка по школам'!J2:J351,"II",'Самопроверка по школам'!E2:E351,"Биология")</f>
        <v>1</v>
      </c>
      <c r="G11" s="13">
        <f>COUNTIFS('Самопроверка по школам'!J2:J351,"III",'Самопроверка по школам'!E2:E351,"биология")</f>
        <v>1</v>
      </c>
      <c r="H11" s="13">
        <f>COUNTIFS('Самопроверка по школам'!J2:J351,"п.л.",'Самопроверка по школам'!E2:E351,"биология")</f>
        <v>4</v>
      </c>
      <c r="I11" s="13"/>
      <c r="J11" s="13">
        <f>COUNTIFS('Самопроверка по школам'!J2:J351,"I",'Самопроверка по школам'!E2:E351,"биология",'Самопроверка по школам'!F2:F351,5)+COUNTIFS('Самопроверка по школам'!J2:J351,"II",'Самопроверка по школам'!E2:E351,"биология",'Самопроверка по школам'!F2:F351,5)+COUNTIFS('Самопроверка по школам'!J2:J351,"III",'Самопроверка по школам'!E2:E351,"биология",'Самопроверка по школам'!F2:F351,5)</f>
        <v>0</v>
      </c>
      <c r="K11" s="13">
        <f>COUNTIFS('Самопроверка по школам'!J2:J351,"I",'Самопроверка по школам'!E2:E351,"биология",'Самопроверка по школам'!F2:F351,6)+COUNTIFS('Самопроверка по школам'!J2:J351,"II",'Самопроверка по школам'!E2:E351,"биология",'Самопроверка по школам'!F2:F351,6)+COUNTIFS('Самопроверка по школам'!J2:J351,"III",'Самопроверка по школам'!E2:E351,"биология",'Самопроверка по школам'!F2:F351,6)</f>
        <v>0</v>
      </c>
      <c r="L11" s="13">
        <f>COUNTIFS('Самопроверка по школам'!$J$2:$J$351,"I",'Самопроверка по школам'!$E$2:$E$351,"биология",'Самопроверка по школам'!$F$2:$F$351,7)+COUNTIFS('Самопроверка по школам'!$J$2:$J$351,"II",'Самопроверка по школам'!$E$2:$E$351,"биология",'Самопроверка по школам'!$F$2:$F$351,7)+COUNTIFS('Самопроверка по школам'!$J$2:$J$351,"III",'Самопроверка по школам'!$E$2:$E$351,"биология",'Самопроверка по школам'!$F$2:$F$351,7)</f>
        <v>1</v>
      </c>
      <c r="M11" s="13">
        <f>COUNTIFS('Самопроверка по школам'!$J$2:$J$351,"I",'Самопроверка по школам'!$E$2:$E$351,"биология",'Самопроверка по школам'!$F$2:$F$351,8)+COUNTIFS('Самопроверка по школам'!$J$2:$J$351,"II",'Самопроверка по школам'!$E$2:$E$351,"биология",'Самопроверка по школам'!$F$2:$F$351,8)+COUNTIFS('Самопроверка по школам'!$J$2:$J$351,"III",'Самопроверка по школам'!$E$2:$E$351,"биология",'Самопроверка по школам'!$F$2:$F$351,8)</f>
        <v>1</v>
      </c>
      <c r="N11" s="13">
        <f>COUNTIFS('Самопроверка по школам'!$J$2:$J$351,"I",'Самопроверка по школам'!$E$2:$E$351,"биология",'Самопроверка по школам'!$F$2:$F$351,9)+COUNTIFS('Самопроверка по школам'!$J$2:$J$351,"II",'Самопроверка по школам'!$E$2:$E$351,"биология",'Самопроверка по школам'!$F$2:$F$351,9)+COUNTIFS('Самопроверка по школам'!$J$2:$J$351,"III",'Самопроверка по школам'!$E$2:$E$351,"биология",'Самопроверка по школам'!$F$2:$F$351,9)</f>
        <v>0</v>
      </c>
      <c r="O11" s="2">
        <f t="shared" si="0"/>
        <v>2</v>
      </c>
    </row>
    <row r="12" spans="1:15" x14ac:dyDescent="0.25">
      <c r="A12" s="18" t="s">
        <v>64</v>
      </c>
      <c r="B12" s="13">
        <f>COUNTIFS('Самопроверка по школам'!E2:E351,"химия")</f>
        <v>4</v>
      </c>
      <c r="C12" s="13">
        <f>'Результативность по предметам'!U20</f>
        <v>2</v>
      </c>
      <c r="D12" s="50">
        <f t="shared" si="1"/>
        <v>0.5</v>
      </c>
      <c r="E12" s="13">
        <f>COUNTIFS('Самопроверка по школам'!J2:J351,"I",'Самопроверка по школам'!E2:E351,"химия")</f>
        <v>0</v>
      </c>
      <c r="F12" s="13">
        <f>COUNTIFS('Самопроверка по школам'!J2:J351,"II",'Самопроверка по школам'!E2:E351,"химия")</f>
        <v>0</v>
      </c>
      <c r="G12" s="13">
        <f>COUNTIFS('Самопроверка по школам'!J2:J351,"III",'Самопроверка по школам'!E2:E351,"химия")</f>
        <v>2</v>
      </c>
      <c r="H12" s="13">
        <f>COUNTIFS('Самопроверка по школам'!J2:J351,"п.л.",'Самопроверка по школам'!E2:E351,"химия")</f>
        <v>0</v>
      </c>
      <c r="I12" s="13"/>
      <c r="J12" s="13">
        <f>COUNTIFS('Самопроверка по школам'!J2:J351,"I",'Самопроверка по школам'!E2:E351,"химия",'Самопроверка по школам'!F2:F351,5)+COUNTIFS('Самопроверка по школам'!J2:J351,"II",'Самопроверка по школам'!E2:E351,"химия",'Самопроверка по школам'!F2:F351,5)+COUNTIFS('Самопроверка по школам'!J2:J351,"III",'Самопроверка по школам'!E2:E351,"химия",'Самопроверка по школам'!F2:F351,5)</f>
        <v>0</v>
      </c>
      <c r="K12" s="13">
        <f>COUNTIFS('Самопроверка по школам'!J2:J351,"I",'Самопроверка по школам'!E2:E351,"химия",'Самопроверка по школам'!F2:F351,6)+COUNTIFS('Самопроверка по школам'!J2:J351,"II",'Самопроверка по школам'!E2:E351,"химия",'Самопроверка по школам'!F2:F351,6)+COUNTIFS('Самопроверка по школам'!J2:J351,"III",'Самопроверка по школам'!E2:E351,"химия",'Самопроверка по школам'!F2:F351,6)</f>
        <v>0</v>
      </c>
      <c r="L12" s="13">
        <f>COUNTIFS('Самопроверка по школам'!$J$2:$J$351,"I",'Самопроверка по школам'!$E$2:$E$351,"химия",'Самопроверка по школам'!$F$2:$F$351,7)+COUNTIFS('Самопроверка по школам'!$J$2:$J$351,"II",'Самопроверка по школам'!$E$2:$E$351,"химия",'Самопроверка по школам'!$F$2:$F$351,7)+COUNTIFS('Самопроверка по школам'!$J$2:$J$351,"III",'Самопроверка по школам'!$E$2:$E$351,"химия",'Самопроверка по школам'!$F$2:$F$351,7)</f>
        <v>0</v>
      </c>
      <c r="M12" s="13">
        <f>COUNTIFS('Самопроверка по школам'!$J$2:$J$351,"I",'Самопроверка по школам'!$E$2:$E$351,"химия",'Самопроверка по школам'!$F$2:$F$351,8)+COUNTIFS('Самопроверка по школам'!$J$2:$J$351,"II",'Самопроверка по школам'!$E$2:$E$351,"химия",'Самопроверка по школам'!$F$2:$F$351,8)+COUNTIFS('Самопроверка по школам'!$J$2:$J$351,"III",'Самопроверка по школам'!$E$2:$E$351,"химия",'Самопроверка по школам'!$F$2:$F$351,8)</f>
        <v>2</v>
      </c>
      <c r="N12" s="13">
        <f>COUNTIFS('Самопроверка по школам'!$J$2:$J$351,"I",'Самопроверка по школам'!$E$2:$E$351,"химия",'Самопроверка по школам'!$F$2:$F$351,9)+COUNTIFS('Самопроверка по школам'!$J$2:$J$351,"II",'Самопроверка по школам'!$E$2:$E$351,"химия",'Самопроверка по школам'!$F$2:$F$351,9)+COUNTIFS('Самопроверка по школам'!$J$2:$J$351,"III",'Самопроверка по школам'!$E$2:$E$351,"химия",'Самопроверка по школам'!$F$2:$F$351,9)</f>
        <v>0</v>
      </c>
      <c r="O12" s="2">
        <f t="shared" si="0"/>
        <v>2</v>
      </c>
    </row>
    <row r="13" spans="1:15" x14ac:dyDescent="0.25">
      <c r="A13" s="18" t="s">
        <v>65</v>
      </c>
      <c r="B13" s="13">
        <f>COUNTIFS('Самопроверка по школам'!E2:E351,"география")</f>
        <v>12</v>
      </c>
      <c r="C13" s="13">
        <f>'Результативность по предметам'!Q20</f>
        <v>4</v>
      </c>
      <c r="D13" s="50">
        <f t="shared" si="1"/>
        <v>0.33333333333333331</v>
      </c>
      <c r="E13" s="13">
        <f>COUNTIFS('Самопроверка по школам'!J2:J351,"I",'Самопроверка по школам'!E2:E351,"география")</f>
        <v>0</v>
      </c>
      <c r="F13" s="13">
        <f>COUNTIFS('Самопроверка по школам'!J2:J351,"II",'Самопроверка по школам'!E2:E351,"география")</f>
        <v>0</v>
      </c>
      <c r="G13" s="13">
        <f>COUNTIFS('Самопроверка по школам'!J2:J351,"III",'Самопроверка по школам'!E2:E351,"география")</f>
        <v>4</v>
      </c>
      <c r="H13" s="13">
        <f>COUNTIFS('Самопроверка по школам'!J2:J351,"п.л.",'Самопроверка по школам'!E2:E351,"география")</f>
        <v>0</v>
      </c>
      <c r="I13" s="13"/>
      <c r="J13" s="13">
        <f>COUNTIFS('Самопроверка по школам'!J2:J351,"I",'Самопроверка по школам'!E2:E351,"география",'Самопроверка по школам'!F2:F351,5)+COUNTIFS('Самопроверка по школам'!J2:J351,"II",'Самопроверка по школам'!E2:E351,"география",'Самопроверка по школам'!F2:F351,5)+COUNTIFS('Самопроверка по школам'!J2:J351,"III",'Самопроверка по школам'!E2:E351,"география",'Самопроверка по школам'!F2:F351,5)</f>
        <v>0</v>
      </c>
      <c r="K13" s="13">
        <f>COUNTIFS('Самопроверка по школам'!J2:J351,"I",'Самопроверка по школам'!E2:E351,"география",'Самопроверка по школам'!F2:F351,6)+COUNTIFS('Самопроверка по школам'!J2:J351,"II",'Самопроверка по школам'!E2:E351,"география",'Самопроверка по школам'!F2:F351,6)+COUNTIFS('Самопроверка по школам'!J2:J351,"III",'Самопроверка по школам'!E2:E351,"география",'Самопроверка по школам'!F2:F351,6)</f>
        <v>0</v>
      </c>
      <c r="L13" s="13">
        <f>COUNTIFS('Самопроверка по школам'!$J$2:$J$351,"I",'Самопроверка по школам'!$E$2:$E$351,"география",'Самопроверка по школам'!$F$2:$F$351,7)+COUNTIFS('Самопроверка по школам'!$J$2:$J$351,"II",'Самопроверка по школам'!$E$2:$E$351,"география",'Самопроверка по школам'!$F$2:$F$351,7)+COUNTIFS('Самопроверка по школам'!$J$2:$J$351,"III",'Самопроверка по школам'!$E$2:$E$351,"география",'Самопроверка по школам'!$F$2:$F$351,7)</f>
        <v>3</v>
      </c>
      <c r="M13" s="13">
        <f>COUNTIFS('Самопроверка по школам'!$J$2:$J$351,"I",'Самопроверка по школам'!$E$2:$E$351,"география",'Самопроверка по школам'!$F$2:$F$351,8)+COUNTIFS('Самопроверка по школам'!$J$2:$J$351,"II",'Самопроверка по школам'!$E$2:$E$351,"география",'Самопроверка по школам'!$F$2:$F$351,8)+COUNTIFS('Самопроверка по школам'!$J$2:$J$351,"III",'Самопроверка по школам'!$E$2:$E$351,"география",'Самопроверка по школам'!$F$2:$F$351,8)</f>
        <v>1</v>
      </c>
      <c r="N13" s="13">
        <f>COUNTIFS('Самопроверка по школам'!$J$2:$J$351,"I",'Самопроверка по школам'!$E$2:$E$351,"география",'Самопроверка по школам'!$F$2:$F$351,9)+COUNTIFS('Самопроверка по школам'!$J$2:$J$351,"II",'Самопроверка по школам'!$E$2:$E$351,"география",'Самопроверка по школам'!$F$2:$F$351,9)+COUNTIFS('Самопроверка по школам'!$J$2:$J$351,"III",'Самопроверка по школам'!$E$2:$E$351,"география",'Самопроверка по школам'!$F$2:$F$351,9)</f>
        <v>0</v>
      </c>
      <c r="O13" s="2">
        <f t="shared" si="0"/>
        <v>4</v>
      </c>
    </row>
    <row r="14" spans="1:15" x14ac:dyDescent="0.25">
      <c r="A14" s="18" t="s">
        <v>66</v>
      </c>
      <c r="B14" s="13">
        <f>COUNTIFS('Самопроверка по школам'!E2:E351,"история")</f>
        <v>17</v>
      </c>
      <c r="C14" s="13">
        <f>'Результативность по предметам'!O20</f>
        <v>2</v>
      </c>
      <c r="D14" s="50">
        <f t="shared" si="1"/>
        <v>0.11764705882352941</v>
      </c>
      <c r="E14" s="13">
        <f>COUNTIFS('Самопроверка по школам'!J2:J351,"I",'Самопроверка по школам'!E2:E351,"история")</f>
        <v>0</v>
      </c>
      <c r="F14" s="13">
        <f>COUNTIFS('Самопроверка по школам'!J2:J351,"II",'Самопроверка по школам'!E2:E351,"история")</f>
        <v>2</v>
      </c>
      <c r="G14" s="13">
        <f>COUNTIFS('Самопроверка по школам'!J2:J351,"III",'Самопроверка по школам'!E2:E351,"история")</f>
        <v>0</v>
      </c>
      <c r="H14" s="13">
        <f>COUNTIFS('Самопроверка по школам'!J2:J351,"п.л.",'Самопроверка по школам'!E2:E351,"история")</f>
        <v>4</v>
      </c>
      <c r="I14" s="13"/>
      <c r="J14" s="13">
        <f>COUNTIFS('Самопроверка по школам'!J2:J351,"I",'Самопроверка по школам'!E2:E351,"история",'Самопроверка по школам'!F2:F351,5)+COUNTIFS('Самопроверка по школам'!J2:J351,"II",'Самопроверка по школам'!E2:E351,"история",'Самопроверка по школам'!F2:F351,5)+COUNTIFS('Самопроверка по школам'!J2:J351,"III",'Самопроверка по школам'!E2:E351,"история",'Самопроверка по школам'!F2:F351,5)</f>
        <v>0</v>
      </c>
      <c r="K14" s="13">
        <f>COUNTIFS('Самопроверка по школам'!J2:J351,"I",'Самопроверка по школам'!E2:E351,"история",'Самопроверка по школам'!F2:F351,6)+COUNTIFS('Самопроверка по школам'!J2:J351,"II",'Самопроверка по школам'!E2:E351,"история",'Самопроверка по школам'!F2:F351,6)+COUNTIFS('Самопроверка по школам'!J2:J351,"III",'Самопроверка по школам'!E2:E351,"история",'Самопроверка по школам'!F2:F351,6)</f>
        <v>0</v>
      </c>
      <c r="L14" s="13">
        <f>COUNTIFS('Самопроверка по школам'!$J$2:$J$351,"I",'Самопроверка по школам'!$E$2:$E$351,"история",'Самопроверка по школам'!$F$2:$F$351,7)+COUNTIFS('Самопроверка по школам'!$J$2:$J$351,"II",'Самопроверка по школам'!$E$2:$E$351,"история",'Самопроверка по школам'!$F$2:$F$351,7)+COUNTIFS('Самопроверка по школам'!$J$2:$J$351,"III",'Самопроверка по школам'!$E$2:$E$351,"история",'Самопроверка по школам'!$F$2:$F$351,7)</f>
        <v>0</v>
      </c>
      <c r="M14" s="13">
        <f>COUNTIFS('Самопроверка по школам'!$J$2:$J$351,"I",'Самопроверка по школам'!$E$2:$E$351,"история",'Самопроверка по школам'!$F$2:$F$351,8)+COUNTIFS('Самопроверка по школам'!$J$2:$J$351,"II",'Самопроверка по школам'!$E$2:$E$351,"история",'Самопроверка по школам'!$F$2:$F$351,8)+COUNTIFS('Самопроверка по школам'!$J$2:$J$351,"III",'Самопроверка по школам'!$E$2:$E$351,"история",'Самопроверка по школам'!$F$2:$F$351,8)</f>
        <v>0</v>
      </c>
      <c r="N14" s="13">
        <f>COUNTIFS('Самопроверка по школам'!$J$2:$J$351,"I",'Самопроверка по школам'!$E$2:$E$351,"история",'Самопроверка по школам'!$F$2:$F$351,9)+COUNTIFS('Самопроверка по школам'!$J$2:$J$351,"II",'Самопроверка по школам'!$E$2:$E$351,"история",'Самопроверка по школам'!$F$2:$F$351,9)+COUNTIFS('Самопроверка по школам'!$J$2:$J$351,"III",'Самопроверка по школам'!$E$2:$E$351,"история",'Самопроверка по школам'!$F$2:$F$351,9)</f>
        <v>2</v>
      </c>
      <c r="O14" s="2">
        <f>I14+J14+K14+L14+M14+N14</f>
        <v>2</v>
      </c>
    </row>
    <row r="15" spans="1:15" x14ac:dyDescent="0.25">
      <c r="A15" s="18" t="s">
        <v>67</v>
      </c>
      <c r="B15" s="13">
        <f>COUNTIFS('Самопроверка по школам'!E2:E351,"обществоведение")</f>
        <v>0</v>
      </c>
      <c r="C15" s="13">
        <f>'Результативность по предметам'!P20</f>
        <v>0</v>
      </c>
      <c r="D15" s="50" t="e">
        <f t="shared" si="1"/>
        <v>#DIV/0!</v>
      </c>
      <c r="E15" s="13">
        <f>COUNTIFS('Самопроверка по школам'!J2:J351,"I",'Самопроверка по школам'!E2:E351,"обществоведение")</f>
        <v>0</v>
      </c>
      <c r="F15" s="13">
        <f>COUNTIFS('Самопроверка по школам'!J2:J351,"II",'Самопроверка по школам'!E2:E351,"обществоведение")</f>
        <v>0</v>
      </c>
      <c r="G15" s="13">
        <f>COUNTIFS('Самопроверка по школам'!J2:J351,"III",'Самопроверка по школам'!E2:E351,"обществоведение")</f>
        <v>0</v>
      </c>
      <c r="H15" s="13">
        <f>COUNTIFS('Самопроверка по школам'!J2:J351,"п.л.",'Самопроверка по школам'!E2:E351,"обществоведение")</f>
        <v>0</v>
      </c>
      <c r="I15" s="13"/>
      <c r="J15" s="13">
        <f>COUNTIFS('Самопроверка по школам'!J2:J351,"I",'Самопроверка по школам'!E2:E351,"обществоведение",'Самопроверка по школам'!F2:F351,5)+COUNTIFS('Самопроверка по школам'!J2:J351,"II",'Самопроверка по школам'!E2:E351,"обществоведение",'Самопроверка по школам'!F2:F351,5)+COUNTIFS('Самопроверка по школам'!J2:J351,"III",'Самопроверка по школам'!E2:E351,"обществоведение",'Самопроверка по школам'!F2:F351,5)</f>
        <v>0</v>
      </c>
      <c r="K15" s="13">
        <f>COUNTIFS('Самопроверка по школам'!J2:J351,"I",'Самопроверка по школам'!E2:E351,"обществоведение",'Самопроверка по школам'!F2:F351,6)+COUNTIFS('Самопроверка по школам'!J2:J351,"II",'Самопроверка по школам'!E2:E351,"обществоведение",'Самопроверка по школам'!F2:F351,6)+COUNTIFS('Самопроверка по школам'!J2:J351,"ΙΙΙ",'Самопроверка по школам'!E2:E351,"обществоведение",'Самопроверка по школам'!F2:F351,6)</f>
        <v>0</v>
      </c>
      <c r="L15" s="13">
        <f>COUNTIFS('Самопроверка по школам'!$J$2:$J$351,"I",'Самопроверка по школам'!$E$2:$E$351,"обществоведение",'Самопроверка по школам'!$F$2:$F$351,7)+COUNTIFS('Самопроверка по школам'!$J$2:$J$351,"II",'Самопроверка по школам'!$E$2:$E$351,"обществоведение",'Самопроверка по школам'!$F$2:$F$351,7)+COUNTIFS('Самопроверка по школам'!$J$2:$J$351,"III",'Самопроверка по школам'!$E$2:$E$351,"обществоведение",'Самопроверка по школам'!$F$2:$F$351,7)</f>
        <v>0</v>
      </c>
      <c r="M15" s="13">
        <f>COUNTIFS('Самопроверка по школам'!$J$2:$J$351,"I",'Самопроверка по школам'!$E$2:$E$351,"обществоведение",'Самопроверка по школам'!$F$2:$F$351,8)+COUNTIFS('Самопроверка по школам'!$J$2:$J$351,"II",'Самопроверка по школам'!$E$2:$E$351,"обществоведение",'Самопроверка по школам'!$F$2:$F$351,8)+COUNTIFS('Самопроверка по школам'!$J$2:$J$351,"III",'Самопроверка по школам'!$E$2:$E$351,"обществоведение",'Самопроверка по школам'!$F$2:$F$351,8)</f>
        <v>0</v>
      </c>
      <c r="N15" s="13">
        <f>COUNTIFS('Самопроверка по школам'!$J$2:$J$351,"I",'Самопроверка по школам'!$E$2:$E$351,"обществоведение",'Самопроверка по школам'!$F$2:$F$351,9)+COUNTIFS('Самопроверка по школам'!$J$2:$J$351,"II",'Самопроверка по школам'!$E$2:$E$351,"обществоведение",'Самопроверка по школам'!$F$2:$F$351,9)+COUNTIFS('Самопроверка по школам'!$J$2:$J$351,"III",'Самопроверка по школам'!$E$2:$E$351,"обществоведение",'Самопроверка по школам'!$F$2:$F$351,9)</f>
        <v>0</v>
      </c>
      <c r="O15" s="2">
        <f t="shared" ref="O15:O16" si="2">I15+J15+K15+L15+M15+N15</f>
        <v>0</v>
      </c>
    </row>
    <row r="16" spans="1:15" ht="30" x14ac:dyDescent="0.25">
      <c r="A16" s="18" t="s">
        <v>140</v>
      </c>
      <c r="B16" s="13">
        <f>COUNTIFS('Самопроверка по школам'!E2:E351,"Труд обслуживающий")</f>
        <v>19</v>
      </c>
      <c r="C16" s="13">
        <f>'Результативность по предметам'!V20</f>
        <v>10</v>
      </c>
      <c r="D16" s="50">
        <f t="shared" si="1"/>
        <v>0.52631578947368418</v>
      </c>
      <c r="E16" s="13">
        <f>COUNTIFS('Самопроверка по школам'!J2:J351,"I",'Самопроверка по школам'!E2:E351,"Труд обслуживающий")</f>
        <v>1</v>
      </c>
      <c r="F16" s="13">
        <f>COUNTIFS('Самопроверка по школам'!J2:J351,"II",'Самопроверка по школам'!E2:E351,"Труд обслуживающий")</f>
        <v>6</v>
      </c>
      <c r="G16" s="13">
        <f>COUNTIFS('Самопроверка по школам'!J2:J351,"III",'Самопроверка по школам'!E2:E351,"Труд обслуживающий")</f>
        <v>3</v>
      </c>
      <c r="H16" s="13">
        <f>COUNTIFS('Самопроверка по школам'!J2:J351,"п.л.",'Самопроверка по школам'!E2:E351,"Труд обслуживающий")</f>
        <v>4</v>
      </c>
      <c r="I16" s="13"/>
      <c r="J16" s="13">
        <f>COUNTIFS('Самопроверка по школам'!J2:J351,"I",'Самопроверка по школам'!E2:E351,"Труд обслуживающий",'Самопроверка по школам'!F2:F351,5)+COUNTIFS('Самопроверка по школам'!J2:J351,"II",'Самопроверка по школам'!E2:E351,"Труд обслуживающий",'Самопроверка по школам'!F2:F351,5)+COUNTIFS('Самопроверка по школам'!J2:J351,"III",'Самопроверка по школам'!E2:E351,"Труд обслуживающий",'Самопроверка по школам'!F2:F351,5)</f>
        <v>0</v>
      </c>
      <c r="K16" s="13">
        <f>COUNTIFS('Самопроверка по школам'!J2:J351,"I",'Самопроверка по школам'!E2:E351,"Труд обслуживающий",'Самопроверка по школам'!F2:F351,6)+COUNTIFS('Самопроверка по школам'!J2:J351,"II",'Самопроверка по школам'!E2:E351,"Труд обслуживающий",'Самопроверка по школам'!F2:F351,6)+COUNTIFS('Самопроверка по школам'!J2:J351,"III",'Самопроверка по школам'!E2:E351,"Труд обслуживающий",'Самопроверка по школам'!F2:F351,6)</f>
        <v>4</v>
      </c>
      <c r="L16" s="13">
        <f>COUNTIFS('Самопроверка по школам'!J2:J351,"I",'Самопроверка по школам'!E2:E351,"Труд обслуживающий",'Самопроверка по школам'!F2:F351,7)+COUNTIFS('Самопроверка по школам'!J2:J351,"II",'Самопроверка по школам'!E2:E351,"Труд обслуживающий",'Самопроверка по школам'!F2:F351,7)+COUNTIFS('Самопроверка по школам'!J2:J351,"III",'Самопроверка по школам'!E2:E351,"Труд обслуживающий",'Самопроверка по школам'!F2:F351,7)</f>
        <v>5</v>
      </c>
      <c r="M16" s="13">
        <f>COUNTIFS('Самопроверка по школам'!J2:J351,"I",'Самопроверка по школам'!E2:E351,"Труд обслуживающий",'Самопроверка по школам'!F2:F351,8)+COUNTIFS('Самопроверка по школам'!J2:J351,"II",'Самопроверка по школам'!E2:E351,"Труд обслуживающий",'Самопроверка по школам'!F2:F351,8)+COUNTIFS('Самопроверка по школам'!J2:J351,"III",'Самопроверка по школам'!E2:E351,"Труд обслуживающий",'Самопроверка по школам'!F2:F351,8)</f>
        <v>1</v>
      </c>
      <c r="N16" s="13">
        <f>COUNTIFS('Самопроверка по школам'!J2:J351,"I",'Самопроверка по школам'!E2:E351,"Труд обслуживающий",'Самопроверка по школам'!F2:F351,9)+COUNTIFS('Самопроверка по школам'!J2:J351,"II",'Самопроверка по школам'!E2:E351,"Труд обслуживающий",'Самопроверка по школам'!F2:F351,9)+COUNTIFS('Самопроверка по школам'!J2:J351,"III",'Самопроверка по школам'!E2:E351,"Труд обслуживающий",'Самопроверка по школам'!F2:F351,9)</f>
        <v>0</v>
      </c>
      <c r="O16" s="2">
        <f t="shared" si="2"/>
        <v>10</v>
      </c>
    </row>
    <row r="17" spans="1:16" x14ac:dyDescent="0.25">
      <c r="A17" s="18" t="s">
        <v>152</v>
      </c>
      <c r="B17" s="13">
        <f>COUNTIFS('Самопроверка по школам'!E2:E351,"Труд  технический")</f>
        <v>12</v>
      </c>
      <c r="C17" s="13">
        <f>'Результативность по предметам'!V21</f>
        <v>0</v>
      </c>
      <c r="D17" s="50">
        <f t="shared" si="1"/>
        <v>0</v>
      </c>
      <c r="E17" s="13">
        <f>COUNTIFS('Самопроверка по школам'!J2:J351,"I",'Самопроверка по школам'!E2:E351,"Труд  технический")</f>
        <v>3</v>
      </c>
      <c r="F17" s="13">
        <f>COUNTIFS('Самопроверка по школам'!J2:J351,"II",'Самопроверка по школам'!E2:E351,"Труд  технический")</f>
        <v>1</v>
      </c>
      <c r="G17" s="13">
        <f>COUNTIFS('Самопроверка по школам'!J2:J351,"III",'Самопроверка по школам'!E2:E351,"Труд  технический")</f>
        <v>0</v>
      </c>
      <c r="H17" s="13">
        <f>COUNTIFS('Самопроверка по школам'!J2:J351,"п.л.",'Самопроверка по школам'!E2:E351,"Труд  технический")</f>
        <v>6</v>
      </c>
      <c r="I17" s="13"/>
      <c r="J17" s="13">
        <f>COUNTIFS('Самопроверка по школам'!J2:J351,"I",'Самопроверка по школам'!E2:E351,"Труд  технический",'Самопроверка по школам'!F2:F351,5)+COUNTIFS('Самопроверка по школам'!J2:J351,"II",'Самопроверка по школам'!E2:E351,"Труд  технический",'Самопроверка по школам'!F2:F351,5)+COUNTIFS('Самопроверка по школам'!J2:J351,"III",'Самопроверка по школам'!E2:E351,"Труд  технический",'Самопроверка по школам'!F2:F351,5)</f>
        <v>0</v>
      </c>
      <c r="K17" s="13">
        <f>COUNTIFS('Самопроверка по школам'!J2:J351,"I",'Самопроверка по школам'!E2:E351,"Труд  технический",'Самопроверка по школам'!F2:F351,6)+COUNTIFS('Самопроверка по школам'!J2:J351,"II",'Самопроверка по школам'!E2:E351,"Труд  технический",'Самопроверка по школам'!F2:F351,6)+COUNTIFS('Самопроверка по школам'!J2:J351,"III",'Самопроверка по школам'!E2:E351,"Труд  технический",'Самопроверка по школам'!F2:F351,6)</f>
        <v>2</v>
      </c>
      <c r="L17" s="13">
        <f>COUNTIFS('Самопроверка по школам'!J2:J351,"I",'Самопроверка по школам'!E2:E351,"Труд  технический",'Самопроверка по школам'!F2:F351,7)+COUNTIFS('Самопроверка по школам'!J2:J351,"II",'Самопроверка по школам'!E2:E351,"Труд  технический",'Самопроверка по школам'!F2:F351,7)+COUNTIFS('Самопроверка по школам'!J2:J351,"III",'Самопроверка по школам'!E2:E351,"Труд  технический",'Самопроверка по школам'!F2:F351,7)</f>
        <v>1</v>
      </c>
      <c r="M17" s="13">
        <f>COUNTIFS('Самопроверка по школам'!J2:J351,"I",'Самопроверка по школам'!E2:E351,"Труд  технический",'Самопроверка по школам'!F2:F351,8)+COUNTIFS('Самопроверка по школам'!J2:J351,"II",'Самопроверка по школам'!E2:E351,"Труд  технический",'Самопроверка по школам'!F2:F351,8)+COUNTIFS('Самопроверка по школам'!J2:J351,"III",'Самопроверка по школам'!E2:E351,"Труд  технический",'Самопроверка по школам'!F2:F351,8)</f>
        <v>1</v>
      </c>
      <c r="N17" s="13">
        <f>COUNTIFS('Самопроверка по школам'!J2:J351,"I",'Самопроверка по школам'!E2:E351,"Труд  технический",'Самопроверка по школам'!F2:F351,9)+COUNTIFS('Самопроверка по школам'!J2:J351,"II",'Самопроверка по школам'!E2:E351,"Труд  технический",'Самопроверка по школам'!F2:F351,9)+COUNTIFS('Самопроверка по школам'!J2:J351,"III",'Самопроверка по школам'!E2:E351,"Труд  технический",'Самопроверка по школам'!F2:F351,9)</f>
        <v>0</v>
      </c>
      <c r="O17" s="2"/>
    </row>
    <row r="18" spans="1:16" ht="45" x14ac:dyDescent="0.25">
      <c r="A18" s="18" t="s">
        <v>157</v>
      </c>
      <c r="B18" s="13"/>
      <c r="C18" s="13">
        <f>'Результативность по предметам'!V22</f>
        <v>0</v>
      </c>
      <c r="D18" s="50" t="e">
        <f t="shared" si="1"/>
        <v>#DIV/0!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"/>
    </row>
    <row r="19" spans="1:16" x14ac:dyDescent="0.25">
      <c r="A19" s="35" t="s">
        <v>105</v>
      </c>
      <c r="B19" s="80">
        <f>SUM(B4:B16)</f>
        <v>227</v>
      </c>
      <c r="C19" s="76">
        <f>SUM(C4:C16)</f>
        <v>80</v>
      </c>
      <c r="D19" s="53">
        <f t="shared" si="1"/>
        <v>0.3524229074889868</v>
      </c>
      <c r="E19" s="52">
        <f>SUM(E4:E16)</f>
        <v>8</v>
      </c>
      <c r="F19" s="52">
        <f>SUM(F4:F16)</f>
        <v>30</v>
      </c>
      <c r="G19" s="52">
        <f t="shared" ref="G19:N19" si="3">SUM(G4:G16)</f>
        <v>42</v>
      </c>
      <c r="H19" s="77">
        <f>SUM(H4:H16)</f>
        <v>52</v>
      </c>
      <c r="I19" s="77">
        <f t="shared" si="3"/>
        <v>21</v>
      </c>
      <c r="J19" s="77">
        <f t="shared" si="3"/>
        <v>21</v>
      </c>
      <c r="K19" s="77">
        <f t="shared" si="3"/>
        <v>11</v>
      </c>
      <c r="L19" s="77">
        <f t="shared" si="3"/>
        <v>19</v>
      </c>
      <c r="M19" s="77">
        <f t="shared" si="3"/>
        <v>6</v>
      </c>
      <c r="N19" s="77">
        <f t="shared" si="3"/>
        <v>2</v>
      </c>
      <c r="O19" s="2"/>
      <c r="P19" s="2">
        <f>SUM(O4:O16)</f>
        <v>80</v>
      </c>
    </row>
    <row r="21" spans="1:16" x14ac:dyDescent="0.25">
      <c r="F21" s="2">
        <f>SUM(E19:G19)</f>
        <v>80</v>
      </c>
    </row>
    <row r="22" spans="1:16" x14ac:dyDescent="0.25">
      <c r="E22" s="2"/>
    </row>
  </sheetData>
  <mergeCells count="15">
    <mergeCell ref="N2:N3"/>
    <mergeCell ref="J2:J3"/>
    <mergeCell ref="K2:K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landscape" verticalDpi="0" r:id="rId1"/>
  <ignoredErrors>
    <ignoredError sqref="K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25"/>
  <sheetViews>
    <sheetView topLeftCell="A2" zoomScale="110" zoomScaleNormal="110" workbookViewId="0">
      <selection activeCell="W10" sqref="W10"/>
    </sheetView>
  </sheetViews>
  <sheetFormatPr defaultRowHeight="15" x14ac:dyDescent="0.25"/>
  <cols>
    <col min="1" max="1" width="23.140625" customWidth="1"/>
    <col min="2" max="2" width="6.28515625" customWidth="1"/>
    <col min="3" max="3" width="7.7109375" customWidth="1"/>
    <col min="4" max="4" width="8.85546875" customWidth="1"/>
    <col min="5" max="7" width="5.28515625" customWidth="1"/>
    <col min="8" max="8" width="4.85546875" customWidth="1"/>
    <col min="9" max="9" width="3.85546875" customWidth="1"/>
    <col min="10" max="10" width="5.28515625" customWidth="1"/>
    <col min="11" max="11" width="4.5703125" customWidth="1"/>
    <col min="12" max="12" width="4.7109375" customWidth="1"/>
    <col min="13" max="13" width="3.85546875" customWidth="1"/>
    <col min="14" max="14" width="4.28515625" customWidth="1"/>
    <col min="15" max="15" width="4.140625" customWidth="1"/>
    <col min="16" max="16" width="5.5703125" customWidth="1"/>
    <col min="17" max="20" width="5" customWidth="1"/>
    <col min="21" max="21" width="5.28515625" customWidth="1"/>
    <col min="22" max="22" width="4" customWidth="1"/>
    <col min="23" max="23" width="7.85546875" customWidth="1"/>
  </cols>
  <sheetData>
    <row r="1" spans="1:25" ht="63.75" customHeight="1" thickBot="1" x14ac:dyDescent="0.3">
      <c r="A1" s="211" t="s">
        <v>327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3"/>
      <c r="W1" s="85"/>
    </row>
    <row r="2" spans="1:25" ht="20.25" customHeight="1" x14ac:dyDescent="0.25">
      <c r="A2" s="162" t="s">
        <v>80</v>
      </c>
      <c r="B2" s="165" t="s">
        <v>106</v>
      </c>
      <c r="C2" s="168" t="s">
        <v>107</v>
      </c>
      <c r="D2" s="171" t="s">
        <v>42</v>
      </c>
      <c r="E2" s="219" t="s">
        <v>73</v>
      </c>
      <c r="F2" s="162" t="s">
        <v>77</v>
      </c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20" t="s">
        <v>76</v>
      </c>
      <c r="V2" s="222" t="s">
        <v>23</v>
      </c>
    </row>
    <row r="3" spans="1:25" ht="20.25" customHeight="1" x14ac:dyDescent="0.25">
      <c r="A3" s="232"/>
      <c r="B3" s="216"/>
      <c r="C3" s="217"/>
      <c r="D3" s="218"/>
      <c r="E3" s="219"/>
      <c r="F3" s="225" t="s">
        <v>29</v>
      </c>
      <c r="G3" s="226" t="s">
        <v>30</v>
      </c>
      <c r="H3" s="227" t="s">
        <v>31</v>
      </c>
      <c r="I3" s="228" t="s">
        <v>32</v>
      </c>
      <c r="J3" s="229" t="s">
        <v>33</v>
      </c>
      <c r="K3" s="214" t="s">
        <v>34</v>
      </c>
      <c r="L3" s="233" t="s">
        <v>35</v>
      </c>
      <c r="M3" s="234" t="s">
        <v>36</v>
      </c>
      <c r="N3" s="214" t="s">
        <v>37</v>
      </c>
      <c r="O3" s="215" t="s">
        <v>44</v>
      </c>
      <c r="P3" s="227" t="s">
        <v>45</v>
      </c>
      <c r="Q3" s="230" t="s">
        <v>46</v>
      </c>
      <c r="R3" s="229" t="s">
        <v>47</v>
      </c>
      <c r="S3" s="224" t="s">
        <v>158</v>
      </c>
      <c r="T3" s="224" t="s">
        <v>159</v>
      </c>
      <c r="U3" s="220"/>
      <c r="V3" s="222"/>
    </row>
    <row r="4" spans="1:25" ht="104.25" customHeight="1" x14ac:dyDescent="0.25">
      <c r="A4" s="232"/>
      <c r="B4" s="216"/>
      <c r="C4" s="217"/>
      <c r="D4" s="218"/>
      <c r="E4" s="183"/>
      <c r="F4" s="225"/>
      <c r="G4" s="226"/>
      <c r="H4" s="227"/>
      <c r="I4" s="228"/>
      <c r="J4" s="229"/>
      <c r="K4" s="214"/>
      <c r="L4" s="233"/>
      <c r="M4" s="234"/>
      <c r="N4" s="214"/>
      <c r="O4" s="215"/>
      <c r="P4" s="227"/>
      <c r="Q4" s="230"/>
      <c r="R4" s="229"/>
      <c r="S4" s="224"/>
      <c r="T4" s="224"/>
      <c r="U4" s="221"/>
      <c r="V4" s="223"/>
    </row>
    <row r="5" spans="1:25" ht="15" customHeight="1" x14ac:dyDescent="0.25">
      <c r="A5" s="14" t="s">
        <v>13</v>
      </c>
      <c r="B5" s="100">
        <v>314</v>
      </c>
      <c r="C5" s="8">
        <f>'Предварительная Результативност'!H4</f>
        <v>61</v>
      </c>
      <c r="D5" s="54">
        <f t="shared" ref="D5:D19" si="0">E5/C5</f>
        <v>0.37704918032786883</v>
      </c>
      <c r="E5" s="15">
        <f>'Результативность по предметам'!E5</f>
        <v>23</v>
      </c>
      <c r="F5" s="17">
        <f>COUNTIFS('Самопроверка по школам'!$D$2:$D$351,"СШ №1 г.Сенно",'Самопроверка по школам'!$E$2:$E$351,"бел.яз и лит.",'Самопроверка по школам'!$J$2:$J$351,"")</f>
        <v>2</v>
      </c>
      <c r="G5" s="17">
        <f>COUNTIFS('Самопроверка по школам'!$D$2:$D$351,"СШ №1 г.Сенно",'Самопроверка по школам'!$E$2:$E$351,"Русский язык и литература",'Самопроверка по школам'!$J$2:$J$351,"")</f>
        <v>9</v>
      </c>
      <c r="H5" s="17">
        <f>COUNTIFS('Самопроверка по школам'!$J$2:$J$351,"",'Самопроверка по школам'!$E$2:$E$351,"Английский язык",'Самопроверка по школам'!$D$2:$D$351,"СШ №1 г.Сенно")</f>
        <v>1</v>
      </c>
      <c r="I5" s="17">
        <f>COUNTIFS('Самопроверка по школам'!$J$2:$J$351,"",'Самопроверка по школам'!$E$2:$E$351,"нем.яз.",'Самопроверка по школам'!$D$2:$D$351,"СШ №1 г.Сенно")</f>
        <v>0</v>
      </c>
      <c r="J5" s="17">
        <f>COUNTIFS('Самопроверка по школам'!$D$2:$D$351,"СШ №1 г.Сенно",'Самопроверка по школам'!$E$2:$E$351,"математика",'Самопроверка по школам'!$J$2:$J$351,"")</f>
        <v>3</v>
      </c>
      <c r="K5" s="17">
        <f>COUNTIFS('Самопроверка по школам'!$D$2:$D$351,"СШ №1 г.Сенно",'Самопроверка по школам'!$E$2:$E$351,"информатика",'Самопроверка по школам'!$J$2:$J$351,"")</f>
        <v>0</v>
      </c>
      <c r="L5" s="17">
        <f>COUNTIFS('Самопроверка по школам'!$D$2:$D$351,"СШ №1 г.Сенно",'Самопроверка по школам'!$E$2:$E$351,"история",'Самопроверка по школам'!$J$2:$J$351,"")</f>
        <v>5</v>
      </c>
      <c r="M5" s="17">
        <f>COUNTIFS('Самопроверка по школам'!$D$2:$D$351,"СШ №1 г.Сенно",'Самопроверка по школам'!$E$2:$E$351,"обществоведение",'Самопроверка по школам'!$J$2:$J$351,"")</f>
        <v>0</v>
      </c>
      <c r="N5" s="17">
        <f>COUNTIFS('Самопроверка по школам'!$D$2:$D$351,"СШ №1 г.Сенно",'Самопроверка по школам'!$E$2:$E$351,"география",'Самопроверка по школам'!$J$2:$J$351,"")</f>
        <v>2</v>
      </c>
      <c r="O5" s="17">
        <f>COUNTIFS('Самопроверка по школам'!$J$2:$J$351,"",'Самопроверка по школам'!$E$2:$E$351,"Биология",'Самопроверка по школам'!$D$2:$D$351,"СШ №1 г.Сенно")</f>
        <v>1</v>
      </c>
      <c r="P5" s="17">
        <f>COUNTIFS('Самопроверка по школам'!$D$2:$D$351,"СШ №1 г.Сенно",'Самопроверка по школам'!$E$2:$E$351,"физика",'Самопроверка по школам'!$J$2:$J$351,"")</f>
        <v>0</v>
      </c>
      <c r="Q5" s="17">
        <f>COUNTIFS('Самопроверка по школам'!$J$2:$J$351,"",'Самопроверка по школам'!$E$2:$E$351,"астрономия",'Самопроверка по школам'!$D$2:$D$351,"СШ №1 г.Сенно")</f>
        <v>0</v>
      </c>
      <c r="R5" s="17">
        <f>COUNTIFS('Самопроверка по школам'!$J$2:$J$351,"",'Самопроверка по школам'!$E$2:$E$351,"химия",'Самопроверка по школам'!$D$2:$D$351,"СШ №1 г.Сенно")</f>
        <v>1</v>
      </c>
      <c r="S5" s="17">
        <f>COUNTIFS('Самопроверка по школам'!$J$2:$J$351,"",'Самопроверка по школам'!$E$2:$E$351,"Труд обслуживающий",'Самопроверка по школам'!$D$2:$D$351,"СШ №1 г.Сенно")</f>
        <v>2</v>
      </c>
      <c r="T5" s="17">
        <f>COUNTIFS('Самопроверка по школам'!$J$2:$J$351,"",'Самопроверка по школам'!$E$2:$E$351,"Труд  технический",'Самопроверка по школам'!$D$2:$D$351,"СШ №1 г.Сенно")</f>
        <v>0</v>
      </c>
      <c r="U5" s="40">
        <f>SUM(F5:T5)</f>
        <v>26</v>
      </c>
      <c r="V5" s="41">
        <f>C5-E5-U5</f>
        <v>12</v>
      </c>
      <c r="W5" s="38">
        <f>E5+U5+V5</f>
        <v>61</v>
      </c>
      <c r="Y5" s="48"/>
    </row>
    <row r="6" spans="1:25" ht="15.75" customHeight="1" x14ac:dyDescent="0.25">
      <c r="A6" s="14" t="s">
        <v>10</v>
      </c>
      <c r="B6" s="100">
        <v>327</v>
      </c>
      <c r="C6" s="8">
        <f>'Предварительная Результативност'!H5</f>
        <v>67</v>
      </c>
      <c r="D6" s="54">
        <f t="shared" si="0"/>
        <v>0.37313432835820898</v>
      </c>
      <c r="E6" s="15">
        <f>'Результативность по предметам'!E6</f>
        <v>25</v>
      </c>
      <c r="F6" s="17">
        <f>COUNTIFS('Самопроверка по школам'!$D$2:$D$351,"СШ №2г.Сенно",'Самопроверка по школам'!$E$2:$E$351,"бел.яз и лит.",'Самопроверка по школам'!$J$2:$J$351,"")</f>
        <v>4</v>
      </c>
      <c r="G6" s="17">
        <f>COUNTIFS('Самопроверка по школам'!$D$2:$D$351,"СШ №2г.Сенно",'Самопроверка по школам'!$E$2:$E$351,"Русский язык и литература",'Самопроверка по школам'!$J$2:$J$351,"")</f>
        <v>3</v>
      </c>
      <c r="H6" s="17">
        <f>COUNTIFS('Самопроверка по школам'!$J$2:$J$351,"",'Самопроверка по школам'!$E$2:$E$351,"Английский язык",'Самопроверка по школам'!$D$2:$D$351,"СШ №2г.Сенно")</f>
        <v>0</v>
      </c>
      <c r="I6" s="17">
        <f>COUNTIFS('Самопроверка по школам'!$J$2:$J$351,"",'Самопроверка по школам'!$E$2:$E$351,"нем.яз.",'Самопроверка по школам'!$D$2:$D$351,"СШ №2г.Сенно")</f>
        <v>0</v>
      </c>
      <c r="J6" s="17">
        <f>COUNTIFS('Самопроверка по школам'!$D$2:$D$351,"СШ №2г.Сенно",'Самопроверка по школам'!$E$2:$E$351,"математика",'Самопроверка по школам'!$J$2:$J$351,"")</f>
        <v>8</v>
      </c>
      <c r="K6" s="17">
        <f>COUNTIFS('Самопроверка по школам'!$D$2:$D$351,"СШ №2г.Сенно",'Самопроверка по школам'!$E$2:$E$351,"информатика",'Самопроверка по школам'!$J$2:$J$351,"")</f>
        <v>0</v>
      </c>
      <c r="L6" s="17">
        <f>COUNTIFS('Самопроверка по школам'!$D$2:$D$351,"СШ №2г.Сенно",'Самопроверка по школам'!$E$2:$E$351,"история",'Самопроверка по школам'!$J$2:$J$351,"")</f>
        <v>2</v>
      </c>
      <c r="M6" s="17">
        <f>COUNTIFS('Самопроверка по школам'!$D$2:$D$351,"СШ №2г.Сенно",'Самопроверка по школам'!$E$2:$E$351,"обществоведение",'Самопроверка по школам'!$J$2:$J$351,"")</f>
        <v>0</v>
      </c>
      <c r="N6" s="17">
        <f>COUNTIFS('Самопроверка по школам'!$D$2:$D$351,"СШ №2г.Сенно",'Самопроверка по школам'!$E$2:$E$351,"география",'Самопроверка по школам'!$J$2:$J$351,"")</f>
        <v>2</v>
      </c>
      <c r="O6" s="17">
        <f>COUNTIFS('Самопроверка по школам'!$J$2:$J$351,"",'Самопроверка по школам'!$E$2:$E$351,"Биология",'Самопроверка по школам'!$D$2:$D$351,"СШ №2г.Сенно")</f>
        <v>0</v>
      </c>
      <c r="P6" s="17">
        <f>COUNTIFS('Самопроверка по школам'!$D$2:$D$351,"СШ №2г.Сенно",'Самопроверка по школам'!$E$2:$E$351,"физика",'Самопроверка по школам'!$J$2:$J$351,"")</f>
        <v>2</v>
      </c>
      <c r="Q6" s="17">
        <f>COUNTIFS('Самопроверка по школам'!$J$2:$J$351,"",'Самопроверка по школам'!$E$2:$E$351,"астрономия",'Самопроверка по школам'!$D$2:$D$351,"СШ №2г.Сенно")</f>
        <v>0</v>
      </c>
      <c r="R6" s="17">
        <f>COUNTIFS('Самопроверка по школам'!$J$2:$J$351,"",'Самопроверка по школам'!$E$2:$E$351,"химия",'Самопроверка по школам'!$D$2:$D$351,"СШ №2г.Сенно")</f>
        <v>0</v>
      </c>
      <c r="S6" s="17">
        <f>COUNTIFS('Самопроверка по школам'!$J$2:$J$351,"",'Самопроверка по школам'!$E$2:$E$351,"Труд обслуживающий",'Самопроверка по школам'!$D$2:$D$351,"СШ №2г.Сенно")</f>
        <v>1</v>
      </c>
      <c r="T6" s="17">
        <f>COUNTIFS('Самопроверка по школам'!$J$2:$J$351,"",'Самопроверка по школам'!$E$2:$E$351,"Труд  технический",'Самопроверка по школам'!$D$2:$D$351,"СШ №2г.Сенно")</f>
        <v>0</v>
      </c>
      <c r="U6" s="40">
        <f>SUM(F6:T6)</f>
        <v>22</v>
      </c>
      <c r="V6" s="41">
        <f t="shared" ref="V6:V20" si="1">C6-E6-U6</f>
        <v>20</v>
      </c>
      <c r="W6" s="38">
        <f t="shared" ref="W6:W20" si="2">E6+U6+V6</f>
        <v>67</v>
      </c>
      <c r="Y6" s="48"/>
    </row>
    <row r="7" spans="1:25" ht="15.75" hidden="1" customHeight="1" x14ac:dyDescent="0.25">
      <c r="A7" s="14" t="s">
        <v>11</v>
      </c>
      <c r="B7" s="100"/>
      <c r="C7" s="8">
        <f>'Предварительная Результативност'!H6</f>
        <v>0</v>
      </c>
      <c r="D7" s="54" t="e">
        <f t="shared" si="0"/>
        <v>#DIV/0!</v>
      </c>
      <c r="E7" s="15">
        <f>'Результативность по предметам'!E7</f>
        <v>0</v>
      </c>
      <c r="F7" s="17">
        <f>COUNTIFS('Самопроверка по школам'!$D$2:$D$351,"Богушевская СШ №1",'Самопроверка по школам'!$E$2:$E$351,"бел.яз и лит.",'Самопроверка по школам'!$J$2:$J$351,"")</f>
        <v>0</v>
      </c>
      <c r="G7" s="17">
        <f>COUNTIFS('Самопроверка по школам'!$D$2:$D$351,"Богушевская СШ №1",'Самопроверка по школам'!$E$2:$E$351,"Русский язык и литература",'Самопроверка по школам'!$J$2:$J$351,"")</f>
        <v>0</v>
      </c>
      <c r="H7" s="17">
        <f>COUNTIFS('Самопроверка по школам'!$J$2:$J$351,"",'Самопроверка по школам'!$E$2:$E$351,"Английский язык",'Самопроверка по школам'!$D$2:$D$351,"СШ №2г.Сенно")</f>
        <v>0</v>
      </c>
      <c r="I7" s="17">
        <f>COUNTIFS('Самопроверка по школам'!$J$2:$J$351,"",'Самопроверка по школам'!$E$2:$E$351,"нем.яз",'Самопроверка по школам'!$D$2:$D$351,"Богушевская СШ №1")</f>
        <v>0</v>
      </c>
      <c r="J7" s="17">
        <f>COUNTIFS('Самопроверка по школам'!$D$2:$D$351,"Богушевская СШ №1",'Самопроверка по школам'!$E$2:$E$351,"математика",'Самопроверка по школам'!$J$2:$J$351,"")</f>
        <v>0</v>
      </c>
      <c r="K7" s="17">
        <f>COUNTIFS('Самопроверка по школам'!$D$2:$D$351,"Богушевская СШ №1",'Самопроверка по школам'!$E$2:$E$351,"информатика",'Самопроверка по школам'!$J$2:$J$351,"")</f>
        <v>0</v>
      </c>
      <c r="L7" s="17">
        <f>COUNTIFS('Самопроверка по школам'!$D$2:$D$351,"Богушевская СШ №1",'Самопроверка по школам'!$E$2:$E$351,"история",'Самопроверка по школам'!$J$2:$J$351,"")</f>
        <v>0</v>
      </c>
      <c r="M7" s="17">
        <f>COUNTIFS('Самопроверка по школам'!$D$2:$D$351,"Богушевская СШ №1",'Самопроверка по школам'!$E$2:$E$351,"обществоведение",'Самопроверка по школам'!$J$2:$J$351,"")</f>
        <v>0</v>
      </c>
      <c r="N7" s="17">
        <f>COUNTIFS('Самопроверка по школам'!$D$2:$D$351,"Богушевская СШ №1",'Самопроверка по школам'!$E$2:$E$351,"география",'Самопроверка по школам'!$J$2:$J$351,"")</f>
        <v>0</v>
      </c>
      <c r="O7" s="17">
        <f>COUNTIFS('Самопроверка по школам'!$J$2:$J$351,"",'Самопроверка по школам'!$E$2:$E$351,"Биология",'Самопроверка по школам'!$D$2:$D$351,"Богушевская СШ №1")</f>
        <v>0</v>
      </c>
      <c r="P7" s="17">
        <f>COUNTIFS('Самопроверка по школам'!$D$2:$D$351,"Богушевская СШ №1",'Самопроверка по школам'!$E$2:$E$351,"физика",'Самопроверка по школам'!$J$2:$J$351,"")</f>
        <v>0</v>
      </c>
      <c r="Q7" s="17">
        <f>COUNTIFS('Самопроверка по школам'!$J$2:$J$351,"",'Самопроверка по школам'!$E$2:$E$351,"астрономия",'Самопроверка по школам'!$D$2:$D$351,"Богушевская СШ №1")</f>
        <v>0</v>
      </c>
      <c r="R7" s="17">
        <f>COUNTIFS('Самопроверка по школам'!$J$2:$J$351,"",'Самопроверка по школам'!$E$2:$E$351,"химия",'Самопроверка по школам'!$D$2:$D$351,"Богушевская СШ №1")</f>
        <v>0</v>
      </c>
      <c r="S7" s="17"/>
      <c r="T7" s="17">
        <f>COUNTIFS('Самопроверка по школам'!$J$2:$J$351,"",'Самопроверка по школам'!$E$2:$E$351,"Трудовое обучение",'Самопроверка по школам'!$D$2:$D$351,"Богушевская СШ №1")</f>
        <v>0</v>
      </c>
      <c r="U7" s="40">
        <f t="shared" ref="U7:U20" si="3">SUM(F7:T7)</f>
        <v>0</v>
      </c>
      <c r="V7" s="41">
        <f t="shared" si="1"/>
        <v>0</v>
      </c>
      <c r="W7" s="38">
        <f t="shared" si="2"/>
        <v>0</v>
      </c>
      <c r="Y7" s="48"/>
    </row>
    <row r="8" spans="1:25" ht="15.75" customHeight="1" x14ac:dyDescent="0.25">
      <c r="A8" s="14" t="s">
        <v>110</v>
      </c>
      <c r="B8" s="100">
        <v>179</v>
      </c>
      <c r="C8" s="8">
        <f>'Предварительная Результативност'!H7</f>
        <v>37</v>
      </c>
      <c r="D8" s="54">
        <f t="shared" si="0"/>
        <v>0.45945945945945948</v>
      </c>
      <c r="E8" s="15">
        <f>'Результативность по предметам'!E8</f>
        <v>17</v>
      </c>
      <c r="F8" s="17">
        <f>COUNTIFS('Самопроверка по школам'!$D$2:$D$351,"Богушевская СШ",'Самопроверка по школам'!$E$2:$E$351,"бел.яз и лит.",'Самопроверка по школам'!$J$2:$J$351,"")</f>
        <v>4</v>
      </c>
      <c r="G8" s="17">
        <f>COUNTIFS('Самопроверка по школам'!$D$2:$D$351,"Богушевская СШ",'Самопроверка по школам'!$E$2:$E$351,"Русский язык и литература",'Самопроверка по школам'!$J$2:$J$351,"")</f>
        <v>1</v>
      </c>
      <c r="H8" s="17">
        <f>COUNTIFS('Самопроверка по школам'!$J$2:$J$351,"",'Самопроверка по школам'!$E$2:$E$351,"Английский язык",'Самопроверка по школам'!$D$2:$D$351,"Богушевская СШ")</f>
        <v>1</v>
      </c>
      <c r="I8" s="17">
        <f>COUNTIFS('Самопроверка по школам'!$J$2:$J$351,"",'Самопроверка по школам'!$E$2:$E$351,"нем.яз.",'Самопроверка по школам'!$D$2:$D$351,"Богушевская СШ")</f>
        <v>0</v>
      </c>
      <c r="J8" s="17">
        <f>COUNTIFS('Самопроверка по школам'!$D$2:$D$351,"Богушевская СШ",'Самопроверка по школам'!$E$2:$E$351,"математика",'Самопроверка по школам'!$J$2:$J$351,"")</f>
        <v>2</v>
      </c>
      <c r="K8" s="17">
        <f>COUNTIFS('Самопроверка по школам'!$D$2:$D$351,"Богушевская СШ",'Самопроверка по школам'!$E$2:$E$351,"информатика",'Самопроверка по школам'!$J$2:$J$351,"")</f>
        <v>0</v>
      </c>
      <c r="L8" s="17">
        <f>COUNTIFS('Самопроверка по школам'!$D$2:$D$351,"Богушевская СШ",'Самопроверка по школам'!$E$2:$E$351,"история",'Самопроверка по школам'!$J$2:$J$351,"")</f>
        <v>1</v>
      </c>
      <c r="M8" s="17">
        <f>COUNTIFS('Самопроверка по школам'!$D$2:$D$351,"Богушевская СШ",'Самопроверка по школам'!$E$2:$E$351,"обществоведение",'Самопроверка по школам'!$J$2:$J$351,"")</f>
        <v>0</v>
      </c>
      <c r="N8" s="17">
        <f>COUNTIFS('Самопроверка по школам'!$D$2:$D$351,"Богушевская СШ",'Самопроверка по школам'!$E$2:$E$351,"география",'Самопроверка по школам'!$J$2:$J$351,"")</f>
        <v>1</v>
      </c>
      <c r="O8" s="17">
        <f>COUNTIFS('Самопроверка по школам'!$J$2:$J$351,"",'Самопроверка по школам'!$E$2:$E$351,"Биология",'Самопроверка по школам'!$D$2:$D$351,"Богушевская СШ")</f>
        <v>1</v>
      </c>
      <c r="P8" s="17">
        <f>COUNTIFS('Самопроверка по школам'!$D$2:$D$351,"Богушевская СШ",'Самопроверка по школам'!$E$2:$E$351,"физика",'Самопроверка по школам'!$J$2:$J$351,"")</f>
        <v>0</v>
      </c>
      <c r="Q8" s="17">
        <f>COUNTIFS('Самопроверка по школам'!$J$2:$J$351,"",'Самопроверка по школам'!$E$2:$E$351,"астрономия",'Самопроверка по школам'!$D$2:$D$351,"Богушевская СШ")</f>
        <v>0</v>
      </c>
      <c r="R8" s="17">
        <f>COUNTIFS('Самопроверка по школам'!$J$2:$J$351,"",'Самопроверка по школам'!$E$2:$E$351,"химия",'Самопроверка по школам'!$D$2:$D$351,"Богушевская СШ")</f>
        <v>0</v>
      </c>
      <c r="S8" s="17">
        <f>COUNTIFS('Самопроверка по школам'!$J$2:$J$351,"",'Самопроверка по школам'!$E$2:$E$351,"Труд обслуживающий",'Самопроверка по школам'!$D$2:$D$351,"Богушевская СШ")</f>
        <v>2</v>
      </c>
      <c r="T8" s="17">
        <f>COUNTIFS('Самопроверка по школам'!$J$2:$J$351,"",'Самопроверка по школам'!$E$2:$E$351,"Труд  технический",'Самопроверка по школам'!$D$2:$D$351,"Богушевская СШ")</f>
        <v>1</v>
      </c>
      <c r="U8" s="40">
        <f t="shared" si="3"/>
        <v>14</v>
      </c>
      <c r="V8" s="41">
        <f t="shared" si="1"/>
        <v>6</v>
      </c>
      <c r="W8" s="38">
        <f t="shared" si="2"/>
        <v>37</v>
      </c>
      <c r="Y8" s="48"/>
    </row>
    <row r="9" spans="1:25" ht="15.75" customHeight="1" x14ac:dyDescent="0.25">
      <c r="A9" s="14" t="s">
        <v>15</v>
      </c>
      <c r="B9" s="100">
        <v>19</v>
      </c>
      <c r="C9" s="8">
        <f>'Предварительная Результативност'!H8</f>
        <v>5</v>
      </c>
      <c r="D9" s="54">
        <f t="shared" si="0"/>
        <v>0.4</v>
      </c>
      <c r="E9" s="15">
        <f>'Результативность по предметам'!E9</f>
        <v>2</v>
      </c>
      <c r="F9" s="17">
        <f>COUNTIFS('Самопроверка по школам'!$D$2:$D$351,"Белицкая ДССШ",'Самопроверка по школам'!$E$2:$E$351,"бел.яз и лит.",'Самопроверка по школам'!$J$2:$J$351,"")</f>
        <v>2</v>
      </c>
      <c r="G9" s="17">
        <f>COUNTIFS('Самопроверка по школам'!$D$2:$D$351,"Белицкая ДССШ",'Самопроверка по школам'!$E$2:$E$351,"Русский язык и литература",'Самопроверка по школам'!$J$2:$J$351,"")</f>
        <v>0</v>
      </c>
      <c r="H9" s="17">
        <f>COUNTIFS('Самопроверка по школам'!$J$2:$J$351,"",'Самопроверка по школам'!$E$2:$E$351,"Английский язык",'Самопроверка по школам'!$D$2:$D$351,"Белицкая ДССШ")</f>
        <v>0</v>
      </c>
      <c r="I9" s="17">
        <f>COUNTIFS('Самопроверка по школам'!$J$2:$J$351,"",'Самопроверка по школам'!$E$2:$E$351,"нем.яз.",'Самопроверка по школам'!$D$2:$D$351,"Белицкая ДССШ")</f>
        <v>0</v>
      </c>
      <c r="J9" s="17">
        <f>COUNTIFS('Самопроверка по школам'!$D$2:$D$351,"Белицкая ДССШ",'Самопроверка по школам'!$E$2:$E$351,"математика",'Самопроверка по школам'!$J$2:$J$351,"")</f>
        <v>1</v>
      </c>
      <c r="K9" s="17">
        <f>COUNTIFS('Самопроверка по школам'!$D$2:$D$351,"Белицкая ДССШ",'Самопроверка по школам'!$E$2:$E$351,"информатика",'Самопроверка по школам'!$J$2:$J$351,"")</f>
        <v>0</v>
      </c>
      <c r="L9" s="17">
        <f>COUNTIFS('Самопроверка по школам'!$D$2:$D$351,"Белицкая ДССШ",'Самопроверка по школам'!$E$2:$E$351,"история",'Самопроверка по школам'!$J$2:$J$351,"")</f>
        <v>0</v>
      </c>
      <c r="M9" s="17">
        <f>COUNTIFS('Самопроверка по школам'!$D$2:$D$351,"Белицкая ДССШ",'Самопроверка по школам'!$E$2:$E$351,"обществоведение",'Самопроверка по школам'!$J$2:$J$351,"")</f>
        <v>0</v>
      </c>
      <c r="N9" s="17">
        <f>COUNTIFS('Самопроверка по школам'!$D$2:$D$351,"Белицкая ДССШ",'Самопроверка по школам'!$E$2:$E$351,"география",'Самопроверка по школам'!$J$2:$J$351,"")</f>
        <v>0</v>
      </c>
      <c r="O9" s="17">
        <f>COUNTIFS('Самопроверка по школам'!$J$2:$J$351,"",'Самопроверка по школам'!$E$2:$E$351,"Биология",'Самопроверка по школам'!$D$2:$D$351,"Белицкая ДССШ")</f>
        <v>0</v>
      </c>
      <c r="P9" s="17">
        <f>COUNTIFS('Самопроверка по школам'!$D$2:$D$351,"Белицкая ДССШ",'Самопроверка по школам'!$E$2:$E$351,"физика",'Самопроверка по школам'!$J$2:$J$351,"")</f>
        <v>0</v>
      </c>
      <c r="Q9" s="17">
        <f>COUNTIFS('Самопроверка по школам'!$J$2:$J$351,"",'Самопроверка по школам'!$E$2:$E$351,"астрономия",'Самопроверка по школам'!$D$2:$D$351,"Белицкая ДССШ")</f>
        <v>0</v>
      </c>
      <c r="R9" s="17">
        <f>COUNTIFS('Самопроверка по школам'!$J$2:$J$351,"",'Самопроверка по школам'!$E$2:$E$351,"химия",'Самопроверка по школам'!$D$2:$D$351,"Белицкая ДССШ")</f>
        <v>0</v>
      </c>
      <c r="S9" s="17">
        <f>COUNTIFS('Самопроверка по школам'!$J$2:$J$351,"",'Самопроверка по школам'!$E$2:$E$351,"Труд обслуживающий",'Самопроверка по школам'!$D$2:$D$351,"Белицкая ДССШ")</f>
        <v>0</v>
      </c>
      <c r="T9" s="17">
        <f>COUNTIFS('Самопроверка по школам'!$J$2:$J$351,"",'Самопроверка по школам'!$E$2:$E$351,"Труд  технический",'Самопроверка по школам'!$D$2:$D$351,"Белицкая ДССШ")</f>
        <v>0</v>
      </c>
      <c r="U9" s="40">
        <f t="shared" si="3"/>
        <v>3</v>
      </c>
      <c r="V9" s="41">
        <f t="shared" si="1"/>
        <v>0</v>
      </c>
      <c r="W9" s="38">
        <f t="shared" si="2"/>
        <v>5</v>
      </c>
      <c r="Y9" s="48"/>
    </row>
    <row r="10" spans="1:25" ht="15.75" customHeight="1" x14ac:dyDescent="0.25">
      <c r="A10" s="14" t="s">
        <v>93</v>
      </c>
      <c r="B10" s="100">
        <v>4</v>
      </c>
      <c r="C10" s="8">
        <f>'Предварительная Результативност'!H9</f>
        <v>2</v>
      </c>
      <c r="D10" s="54">
        <f t="shared" si="0"/>
        <v>0</v>
      </c>
      <c r="E10" s="15">
        <f>'Результативность по предметам'!E10</f>
        <v>0</v>
      </c>
      <c r="F10" s="17">
        <f>COUNTIFS('Самопроверка по школам'!$D$2:$D$351,"Богдановская НШ",'Самопроверка по школам'!$E$2:$E$351,"бел.яз и лит.",'Самопроверка по школам'!$J$2:$J$351,"")</f>
        <v>0</v>
      </c>
      <c r="G10" s="17">
        <f>COUNTIFS('Самопроверка по школам'!$D$2:$D$351,"Богдановская НШ",'Самопроверка по школам'!$E$2:$E$351,"Русский язык и литература",'Самопроверка по школам'!$J$2:$J$351,"")</f>
        <v>1</v>
      </c>
      <c r="H10" s="17">
        <f>COUNTIFS('Самопроверка по школам'!$J$2:$J$351,"",'Самопроверка по школам'!$E$2:$E$351,"Английский язык",'Самопроверка по школам'!$D$2:$D$351,"Богдановская НШ")</f>
        <v>0</v>
      </c>
      <c r="I10" s="17">
        <f>COUNTIFS('Самопроверка по школам'!$J$2:$J$351,"",'Самопроверка по школам'!$E$2:$E$351,"нем.яз",'Самопроверка по школам'!$D$2:$D$351,"Богдановская НШ")</f>
        <v>0</v>
      </c>
      <c r="J10" s="17">
        <f>COUNTIFS('Самопроверка по школам'!$D$2:$D$351,"Богдановская НШ",'Самопроверка по школам'!$E$2:$E$351,"математика",'Самопроверка по школам'!$J$2:$J$351,"")</f>
        <v>1</v>
      </c>
      <c r="K10" s="17">
        <f>COUNTIFS('Самопроверка по школам'!$D$2:$D$351,"Богдановская НШ",'Самопроверка по школам'!$E$2:$E$351,"информатика",'Самопроверка по школам'!$J$2:$J$351,"")</f>
        <v>0</v>
      </c>
      <c r="L10" s="17">
        <f>COUNTIFS('Самопроверка по школам'!$D$2:$D$351,"Богдановская НШ",'Самопроверка по школам'!$E$2:$E$351,"история",'Самопроверка по школам'!$J$2:$J$351,"")</f>
        <v>0</v>
      </c>
      <c r="M10" s="17">
        <f>COUNTIFS('Самопроверка по школам'!$D$2:$D$351,"Богдановская НШ",'Самопроверка по школам'!$E$2:$E$351,"обществоведение",'Самопроверка по школам'!$J$2:$J$351,"")</f>
        <v>0</v>
      </c>
      <c r="N10" s="17">
        <f>COUNTIFS('Самопроверка по школам'!$D$2:$D$351,"Богдановская НШ",'Самопроверка по школам'!$E$2:$E$351,"география",'Самопроверка по школам'!$J$2:$J$351,"")</f>
        <v>0</v>
      </c>
      <c r="O10" s="17">
        <f>COUNTIFS('Самопроверка по школам'!$J$2:$J$351,"",'Самопроверка по школам'!$E$2:$E$351,"Биология",'Самопроверка по школам'!$D$2:$D$351,"Богдановская НШ")</f>
        <v>0</v>
      </c>
      <c r="P10" s="17">
        <f>COUNTIFS('Самопроверка по школам'!$D$2:$D$351,"Богдановская НШ",'Самопроверка по школам'!$E$2:$E$351,"физика",'Самопроверка по школам'!$J$2:$J$351,"")</f>
        <v>0</v>
      </c>
      <c r="Q10" s="17">
        <f>COUNTIFS('Самопроверка по школам'!$J$2:$J$351,"",'Самопроверка по школам'!$E$2:$E$351,"астрономия",'Самопроверка по школам'!$D$2:$D$351,"Богдановская НШ")</f>
        <v>0</v>
      </c>
      <c r="R10" s="17">
        <f>COUNTIFS('Самопроверка по школам'!$J$2:$J$351,"",'Самопроверка по школам'!$E$2:$E$351,"химия",'Самопроверка по школам'!$D$2:$D$351,"Богдановская НШ")</f>
        <v>0</v>
      </c>
      <c r="S10" s="17">
        <f>COUNTIFS('Самопроверка по школам'!$J$2:$J$351,"",'Самопроверка по школам'!$E$2:$E$351,"Труд обслуживающий",'Самопроверка по школам'!$D$2:$D$351,"Богдановская НШ")</f>
        <v>0</v>
      </c>
      <c r="T10" s="17">
        <f>COUNTIFS('Самопроверка по школам'!$J$2:$J$351,"",'Самопроверка по школам'!$E$2:$E$351,"Труд  технический",'Самопроверка по школам'!$D$2:$D$351,"Богдановская НШ")</f>
        <v>0</v>
      </c>
      <c r="U10" s="40">
        <f t="shared" si="3"/>
        <v>2</v>
      </c>
      <c r="V10" s="41">
        <f t="shared" si="1"/>
        <v>0</v>
      </c>
      <c r="W10" s="38">
        <f t="shared" si="2"/>
        <v>2</v>
      </c>
      <c r="Y10" s="48"/>
    </row>
    <row r="11" spans="1:25" ht="15.75" customHeight="1" x14ac:dyDescent="0.25">
      <c r="A11" s="14" t="s">
        <v>16</v>
      </c>
      <c r="B11" s="100">
        <v>20</v>
      </c>
      <c r="C11" s="8">
        <f>'Предварительная Результативност'!H10</f>
        <v>3</v>
      </c>
      <c r="D11" s="54">
        <f t="shared" si="0"/>
        <v>0</v>
      </c>
      <c r="E11" s="15">
        <f>'Результативность по предметам'!E11</f>
        <v>0</v>
      </c>
      <c r="F11" s="17">
        <f>COUNTIFS('Самопроверка по школам'!$D$2:$D$351,"Коковчинская ДССШ",'Самопроверка по школам'!$E$2:$E$351,"бел.яз и лит.",'Самопроверка по школам'!$J$2:$J$351,"")</f>
        <v>0</v>
      </c>
      <c r="G11" s="17">
        <f>COUNTIFS('Самопроверка по школам'!$D$2:$D$351,"Коковчинская ДССШ",'Самопроверка по школам'!$E$2:$E$351,"Русский язык и литература",'Самопроверка по школам'!$J$2:$J$351,"")</f>
        <v>2</v>
      </c>
      <c r="H11" s="17">
        <f>COUNTIFS('Самопроверка по школам'!$J$2:$J$351,"",'Самопроверка по школам'!$E$2:$E$351,"Английский язык",'Самопроверка по школам'!$D$2:$D$351,"Коковчинская ДССШ")</f>
        <v>0</v>
      </c>
      <c r="I11" s="17">
        <f>COUNTIFS('Самопроверка по школам'!$J$2:$J$351,"",'Самопроверка по школам'!$E$2:$E$351,"нем.яз.",'Самопроверка по школам'!$D$2:$D$351,"Коковчинская ДССШ")</f>
        <v>0</v>
      </c>
      <c r="J11" s="17">
        <f>COUNTIFS('Самопроверка по школам'!$D$2:$D$351,"Коковчинская ДССШ",'Самопроверка по школам'!$E$2:$E$351,"математика",'Самопроверка по школам'!$J$2:$J$351,"")</f>
        <v>0</v>
      </c>
      <c r="K11" s="17">
        <f>COUNTIFS('Самопроверка по школам'!$D$2:$D$351,"Коковчинская ДССШ",'Самопроверка по школам'!$E$2:$E$351,"информатика",'Самопроверка по школам'!$J$2:$J$351,"")</f>
        <v>0</v>
      </c>
      <c r="L11" s="17">
        <f>COUNTIFS('Самопроверка по школам'!$D$2:$D$351,"Коковчинская ДССШ",'Самопроверка по школам'!$E$2:$E$351,"история",'Самопроверка по школам'!$J$2:$J$351,"")</f>
        <v>0</v>
      </c>
      <c r="M11" s="17">
        <f>COUNTIFS('Самопроверка по школам'!$D$2:$D$351,"Коковчинская ДССШ",'Самопроверка по школам'!$E$2:$E$351,"обществоведение",'Самопроверка по школам'!$J$2:$J$351,"")</f>
        <v>0</v>
      </c>
      <c r="N11" s="17">
        <f>COUNTIFS('Самопроверка по школам'!$D$2:$D$351,"Коковчинская ДССШ",'Самопроверка по школам'!$E$2:$E$351,"география",'Самопроверка по школам'!$J$2:$J$351,"")</f>
        <v>0</v>
      </c>
      <c r="O11" s="17">
        <f>COUNTIFS('Самопроверка по школам'!$J$2:$J$351,"",'Самопроверка по школам'!$E$2:$E$351,"Биология",'Самопроверка по школам'!$D$2:$D$351,"Коковчинская ДССШ")</f>
        <v>0</v>
      </c>
      <c r="P11" s="17">
        <f>COUNTIFS('Самопроверка по школам'!$D$2:$D$351,"Коковчинская ДССШ",'Самопроверка по школам'!$E$2:$E$351,"физика",'Самопроверка по школам'!$J$2:$J$351,"")</f>
        <v>0</v>
      </c>
      <c r="Q11" s="17">
        <f>COUNTIFS('Самопроверка по школам'!$J$2:$J$351,"",'Самопроверка по школам'!$E$2:$E$351,"астрономия",'Самопроверка по школам'!$D$2:$D$351,"Коковчинская ДССШ")</f>
        <v>0</v>
      </c>
      <c r="R11" s="17">
        <f>COUNTIFS('Самопроверка по школам'!$J$2:$J$351,"",'Самопроверка по школам'!$E$2:$E$351,"химия",'Самопроверка по школам'!$D$2:$D$351,"Коковчинская ДССШ")</f>
        <v>0</v>
      </c>
      <c r="S11" s="17">
        <f>COUNTIFS('Самопроверка по школам'!$J$2:$J$351,"",'Самопроверка по школам'!$E$2:$E$351,"Труд обслуживающий",'Самопроверка по школам'!$D$2:$D$351,"Коковчинская ДССШ")</f>
        <v>0</v>
      </c>
      <c r="T11" s="17">
        <f>COUNTIFS('Самопроверка по школам'!$J$2:$J$351,"",'Самопроверка по школам'!$E$2:$E$351,"Труд  технический",'Самопроверка по школам'!$D$2:$D$351,"Коковчинская ДССШ")</f>
        <v>0</v>
      </c>
      <c r="U11" s="40">
        <f t="shared" si="3"/>
        <v>2</v>
      </c>
      <c r="V11" s="41">
        <f t="shared" si="1"/>
        <v>1</v>
      </c>
      <c r="W11" s="38">
        <f t="shared" si="2"/>
        <v>3</v>
      </c>
      <c r="Y11" s="48"/>
    </row>
    <row r="12" spans="1:25" ht="15.75" customHeight="1" x14ac:dyDescent="0.25">
      <c r="A12" s="14" t="s">
        <v>14</v>
      </c>
      <c r="B12" s="100">
        <v>80</v>
      </c>
      <c r="C12" s="8">
        <f>'Предварительная Результативност'!H11</f>
        <v>35</v>
      </c>
      <c r="D12" s="54">
        <f t="shared" si="0"/>
        <v>0.14285714285714285</v>
      </c>
      <c r="E12" s="15">
        <f>'Результативность по предметам'!E12</f>
        <v>5</v>
      </c>
      <c r="F12" s="17">
        <f>COUNTIFS('Самопроверка по школам'!$D$2:$D$351,"Мошканская ДССШ",'Самопроверка по школам'!$E$2:$E$351,"бел.яз и лит.",'Самопроверка по школам'!$J$2:$J$351,"")</f>
        <v>3</v>
      </c>
      <c r="G12" s="17">
        <f>COUNTIFS('Самопроверка по школам'!$D$2:$D$351,"Мошканская ДССШ",'Самопроверка по школам'!$E$2:$E$351,"Русский язык и литература",'Самопроверка по школам'!$J$2:$J$351,"")</f>
        <v>4</v>
      </c>
      <c r="H12" s="17">
        <f>COUNTIFS('Самопроверка по школам'!$J$2:$J$351,"",'Самопроверка по школам'!$E$2:$E$351,"Английский язык",'Самопроверка по школам'!$D$2:$D$351,"Мошканская ДССШ")</f>
        <v>0</v>
      </c>
      <c r="I12" s="17">
        <f>COUNTIFS('Самопроверка по школам'!$J$2:$J$351,"",'Самопроверка по школам'!$E$2:$E$351,"нем.яз.",'Самопроверка по школам'!$D$2:$D$351,"Мошканская ДССШ")</f>
        <v>0</v>
      </c>
      <c r="J12" s="17">
        <f>COUNTIFS('Самопроверка по школам'!$D$2:$D$351,"Мошканская ДССШ",'Самопроверка по школам'!$E$2:$E$351,"математика",'Самопроверка по школам'!$J$2:$J$351,"")</f>
        <v>2</v>
      </c>
      <c r="K12" s="17">
        <f>COUNTIFS('Самопроверка по школам'!$D$2:$D$351,"Мошканская ДССШ",'Самопроверка по школам'!$E$2:$E$351,"информатика",'Самопроверка по школам'!$J$2:$J$351,"")</f>
        <v>0</v>
      </c>
      <c r="L12" s="17">
        <f>COUNTIFS('Самопроверка по школам'!$D$2:$D$351,"Мошканская ДССШ",'Самопроверка по школам'!$E$2:$E$351,"история",'Самопроверка по школам'!$J$2:$J$351,"")</f>
        <v>3</v>
      </c>
      <c r="M12" s="17">
        <f>COUNTIFS('Самопроверка по школам'!$D$2:$D$351,"Мошканская ДССШ",'Самопроверка по школам'!$E$2:$E$351,"обществоведение",'Самопроверка по школам'!$J$2:$J$351,"")</f>
        <v>0</v>
      </c>
      <c r="N12" s="17">
        <f>COUNTIFS('Самопроверка по школам'!$D$2:$D$351,"Мошканская ДССШ",'Самопроверка по школам'!$E$2:$E$351,"география",'Самопроверка по школам'!$J$2:$J$351,"")</f>
        <v>3</v>
      </c>
      <c r="O12" s="17">
        <f>COUNTIFS('Самопроверка по школам'!$J$2:$J$351,"",'Самопроверка по школам'!$E$2:$E$351,"Биология",'Самопроверка по школам'!$D$2:$D$351,"Мошканская ДССШ")</f>
        <v>1</v>
      </c>
      <c r="P12" s="17">
        <f>COUNTIFS('Самопроверка по школам'!$D$2:$D$351,"Мошканская ДССШ",'Самопроверка по школам'!$E$2:$E$351,"физика",'Самопроверка по школам'!$J$2:$J$351,"")</f>
        <v>0</v>
      </c>
      <c r="Q12" s="17">
        <f>COUNTIFS('Самопроверка по школам'!$J$2:$J$351,"",'Самопроверка по школам'!$E$2:$E$351,"астрономия",'Самопроверка по школам'!$D$2:$D$351,"Мошканская ДССШ")</f>
        <v>0</v>
      </c>
      <c r="R12" s="17">
        <f>COUNTIFS('Самопроверка по школам'!$J$2:$J$351,"",'Самопроверка по школам'!$E$2:$E$351,"химия",'Самопроверка по школам'!$D$2:$D$351,"Мошканская ДССШ")</f>
        <v>1</v>
      </c>
      <c r="S12" s="17">
        <f>COUNTIFS('Самопроверка по школам'!$J$2:$J$351,"",'Самопроверка по школам'!$E$2:$E$351,"Труд обслуживающий",'Самопроверка по школам'!$D$2:$D$351,"Мошканская ДССШ")</f>
        <v>0</v>
      </c>
      <c r="T12" s="17">
        <f>COUNTIFS('Самопроверка по школам'!$J$2:$J$351,"",'Самопроверка по школам'!$E$2:$E$351,"Труд  технический",'Самопроверка по школам'!$D$2:$D$351,"Мошканская ДССШ")</f>
        <v>0</v>
      </c>
      <c r="U12" s="40">
        <f t="shared" si="3"/>
        <v>17</v>
      </c>
      <c r="V12" s="41">
        <f t="shared" si="1"/>
        <v>13</v>
      </c>
      <c r="W12" s="38">
        <f t="shared" si="2"/>
        <v>35</v>
      </c>
      <c r="Y12" s="48"/>
    </row>
    <row r="13" spans="1:25" ht="15.75" hidden="1" customHeight="1" x14ac:dyDescent="0.25">
      <c r="A13" s="14" t="s">
        <v>38</v>
      </c>
      <c r="B13" s="100"/>
      <c r="C13" s="8">
        <f>'Предварительная Результативност'!H12</f>
        <v>0</v>
      </c>
      <c r="D13" s="54" t="e">
        <f t="shared" si="0"/>
        <v>#DIV/0!</v>
      </c>
      <c r="E13" s="15">
        <f>'Результативность по предметам'!E13</f>
        <v>0</v>
      </c>
      <c r="F13" s="17">
        <f>COUNTIFS('Самопроверка по школам'!$D$2:$D$351,"Мощёнская ДССШ",'Самопроверка по школам'!$E$2:$E$351,"бел.яз и лит.",'Самопроверка по школам'!$J$2:$J$351,"")</f>
        <v>0</v>
      </c>
      <c r="G13" s="17">
        <f>COUNTIFS('Самопроверка по школам'!$D$2:$D$351,"Мощёнская ДССШ",'Самопроверка по школам'!$E$2:$E$351,"Русский язык и литература",'Самопроверка по школам'!$J$2:$J$351,"")</f>
        <v>0</v>
      </c>
      <c r="H13" s="17">
        <f>COUNTIFS('Самопроверка по школам'!$J$2:$J$351,"",'Самопроверка по школам'!$E$2:$E$351,"Английский язык",'Самопроверка по школам'!$D$2:$D$351,"Мощёнская ДССШ")</f>
        <v>0</v>
      </c>
      <c r="I13" s="17">
        <f>COUNTIFS('Самопроверка по школам'!$J$2:$J$351,"",'Самопроверка по школам'!$E$2:$E$351,"нем.яз",'Самопроверка по школам'!$D$2:$D$351,"Мощёнская ДССШ")</f>
        <v>0</v>
      </c>
      <c r="J13" s="17">
        <f>COUNTIFS('Самопроверка по школам'!$D$2:$D$351,"Мощёнская ДССШ",'Самопроверка по школам'!$E$2:$E$351,"математика",'Самопроверка по школам'!$J$2:$J$351,"")</f>
        <v>0</v>
      </c>
      <c r="K13" s="17">
        <f>COUNTIFS('Самопроверка по школам'!$D$2:$D$351,"Мощёнская ДССШ",'Самопроверка по школам'!$E$2:$E$351,"информатика",'Самопроверка по школам'!$J$2:$J$351,"")</f>
        <v>0</v>
      </c>
      <c r="L13" s="17">
        <f>COUNTIFS('Самопроверка по школам'!$D$2:$D$351,"Мощёнская ДССШ",'Самопроверка по школам'!$E$2:$E$351,"история",'Самопроверка по школам'!$J$2:$J$351,"")</f>
        <v>0</v>
      </c>
      <c r="M13" s="17">
        <f>COUNTIFS('Самопроверка по школам'!$D$2:$D$351,"Мощёнская ДССШ",'Самопроверка по школам'!$E$2:$E$351,"обществоведение",'Самопроверка по школам'!$J$2:$J$351,"")</f>
        <v>0</v>
      </c>
      <c r="N13" s="17">
        <f>COUNTIFS('Самопроверка по школам'!$D$2:$D$351,"Мощёнская ДССШ",'Самопроверка по школам'!$E$2:$E$351,"география",'Самопроверка по школам'!$J$2:$J$351,"")</f>
        <v>0</v>
      </c>
      <c r="O13" s="17">
        <f>COUNTIFS('Самопроверка по школам'!$J$2:$J$351,"",'Самопроверка по школам'!$E$2:$E$351,"Биология",'Самопроверка по школам'!$D$2:$D$351,"Мощёнская ДССШ")</f>
        <v>0</v>
      </c>
      <c r="P13" s="17">
        <f>COUNTIFS('Самопроверка по школам'!$D$2:$D$351,"Мощёнская ДССШ",'Самопроверка по школам'!$E$2:$E$351,"физика",'Самопроверка по школам'!$J$2:$J$351,"")</f>
        <v>0</v>
      </c>
      <c r="Q13" s="17">
        <f>COUNTIFS('Самопроверка по школам'!$J$2:$J$351,"",'Самопроверка по школам'!$E$2:$E$351,"астрономия",'Самопроверка по школам'!$D$2:$D$351,"Мощёнская ДССШ")</f>
        <v>0</v>
      </c>
      <c r="R13" s="17">
        <f>COUNTIFS('Самопроверка по школам'!$J$2:$J$351,"",'Самопроверка по школам'!$E$2:$E$351,"химия",'Самопроверка по школам'!$D$2:$D$351,"Мощёнская ДССШ")</f>
        <v>0</v>
      </c>
      <c r="S13" s="17"/>
      <c r="T13" s="17">
        <f>COUNTIFS('Самопроверка по школам'!$J$2:$J$351,"",'Самопроверка по школам'!$E$2:$E$351,"Трудовое обучение",'Самопроверка по школам'!$D$2:$D$351,"Мощёнская ДССШ")</f>
        <v>0</v>
      </c>
      <c r="U13" s="40">
        <f t="shared" si="3"/>
        <v>0</v>
      </c>
      <c r="V13" s="41">
        <f t="shared" si="1"/>
        <v>0</v>
      </c>
      <c r="W13" s="38">
        <f t="shared" si="2"/>
        <v>0</v>
      </c>
      <c r="Y13" s="48"/>
    </row>
    <row r="14" spans="1:25" ht="15.75" customHeight="1" x14ac:dyDescent="0.25">
      <c r="A14" s="14" t="s">
        <v>39</v>
      </c>
      <c r="B14" s="100">
        <v>42</v>
      </c>
      <c r="C14" s="8">
        <f>'Предварительная Результативност'!H13</f>
        <v>15</v>
      </c>
      <c r="D14" s="54">
        <f t="shared" si="0"/>
        <v>0.46666666666666667</v>
      </c>
      <c r="E14" s="15">
        <f>'Результативность по предметам'!E14</f>
        <v>7</v>
      </c>
      <c r="F14" s="17">
        <f>COUNTIFS('Самопроверка по школам'!$D$2:$D$351,"Студёнковская ДССШ",'Самопроверка по школам'!$E$2:$E$351,"бел.яз и лит.",'Самопроверка по школам'!$J$2:$J$351,"")</f>
        <v>3</v>
      </c>
      <c r="G14" s="17">
        <f>COUNTIFS('Самопроверка по школам'!$D$2:$D$351,"Студёнковская ДССШ",'Самопроверка по школам'!$E$2:$E$351,"Русский язык и литература",'Самопроверка по школам'!$J$2:$J$351,"")</f>
        <v>1</v>
      </c>
      <c r="H14" s="17">
        <f>COUNTIFS('Самопроверка по школам'!$J$2:$J$351,"",'Самопроверка по школам'!$E$2:$E$351,"Английский язык",'Самопроверка по школам'!$D$2:$D$351,"Студёнковская ДССШ")</f>
        <v>0</v>
      </c>
      <c r="I14" s="17">
        <f>COUNTIFS('Самопроверка по школам'!$J$2:$J$351,"",'Самопроверка по школам'!$E$2:$E$351,"нем.яз.",'Самопроверка по школам'!$D$2:$D$351,"Студёнковская ДССШ")</f>
        <v>0</v>
      </c>
      <c r="J14" s="17">
        <f>COUNTIFS('Самопроверка по школам'!$D$2:$D$351,"Студёнковская ДССШ",'Самопроверка по школам'!$E$2:$E$351,"математика",'Самопроверка по школам'!$J$2:$J$351,"")</f>
        <v>0</v>
      </c>
      <c r="K14" s="17">
        <f>COUNTIFS('Самопроверка по школам'!$D$2:$D$351,"Студёнковская ДССШ",'Самопроверка по школам'!$E$2:$E$351,"информатика",'Самопроверка по школам'!$J$2:$J$351,"")</f>
        <v>0</v>
      </c>
      <c r="L14" s="17">
        <f>COUNTIFS('Самопроверка по школам'!$D$2:$D$351,"Студёнковская ДССШ",'Самопроверка по школам'!$E$2:$E$351,"история",'Самопроверка по школам'!$J$2:$J$351,"")</f>
        <v>0</v>
      </c>
      <c r="M14" s="17">
        <f>COUNTIFS('Самопроверка по школам'!$D$2:$D$351,"Студёнковская ДССШ",'Самопроверка по школам'!$E$2:$E$351,"обществоведение",'Самопроверка по школам'!$J$2:$J$351,"")</f>
        <v>0</v>
      </c>
      <c r="N14" s="17">
        <f>COUNTIFS('Самопроверка по школам'!$D$2:$D$351,"Студёнковская ДССШ",'Самопроверка по школам'!$E$2:$E$351,"география",'Самопроверка по школам'!$J$2:$J$351,"")</f>
        <v>0</v>
      </c>
      <c r="O14" s="17">
        <f>COUNTIFS('Самопроверка по школам'!$J$2:$J$351,"",'Самопроверка по школам'!$E$2:$E$351,"Биология",'Самопроверка по школам'!$D$2:$D$351,"Студёнковская ДССШ")</f>
        <v>0</v>
      </c>
      <c r="P14" s="17">
        <f>COUNTIFS('Самопроверка по школам'!$D$2:$D$351,"Студёнковская ДССШ",'Самопроверка по школам'!$E$2:$E$351,"физика",'Самопроверка по школам'!$J$2:$J$351,"")</f>
        <v>0</v>
      </c>
      <c r="Q14" s="17">
        <f>COUNTIFS('Самопроверка по школам'!$J$2:$J$351,"",'Самопроверка по школам'!$E$2:$E$351,"астрономия",'Самопроверка по школам'!$D$2:$D$351,"Студёнковская ДССШ")</f>
        <v>0</v>
      </c>
      <c r="R14" s="17">
        <f>COUNTIFS('Самопроверка по школам'!$J$2:$J$351,"",'Самопроверка по школам'!$E$2:$E$351,"химия",'Самопроверка по школам'!$D$2:$D$351,"Студёнковская ДССШ")</f>
        <v>0</v>
      </c>
      <c r="S14" s="17">
        <f>COUNTIFS('Самопроверка по школам'!$J$2:$J$351,"",'Самопроверка по школам'!$E$2:$E$351,"Труд обслуживающий",'Самопроверка по школам'!$D$2:$D$351,"Студёнковская ДССШ")</f>
        <v>0</v>
      </c>
      <c r="T14" s="17">
        <f>COUNTIFS('Самопроверка по школам'!$J$2:$J$351,"",'Самопроверка по школам'!$E$2:$E$351,"Труд  технический",'Самопроверка по школам'!$D$2:$D$351,"Студёнковская ДССШ")</f>
        <v>1</v>
      </c>
      <c r="U14" s="40">
        <f t="shared" si="3"/>
        <v>5</v>
      </c>
      <c r="V14" s="41">
        <f t="shared" si="1"/>
        <v>3</v>
      </c>
      <c r="W14" s="38">
        <f t="shared" si="2"/>
        <v>15</v>
      </c>
      <c r="Y14" s="48"/>
    </row>
    <row r="15" spans="1:25" ht="15.75" customHeight="1" x14ac:dyDescent="0.25">
      <c r="A15" s="14" t="s">
        <v>79</v>
      </c>
      <c r="B15" s="100">
        <v>29</v>
      </c>
      <c r="C15" s="8">
        <f>'Предварительная Результативност'!H14</f>
        <v>5</v>
      </c>
      <c r="D15" s="54">
        <f t="shared" si="0"/>
        <v>0.6</v>
      </c>
      <c r="E15" s="15">
        <f>'Результативность по предметам'!E15</f>
        <v>3</v>
      </c>
      <c r="F15" s="17">
        <f>COUNTIFS('Самопроверка по школам'!$D$2:$D$351,"Ходцевская ДССШ",'Самопроверка по школам'!$E$2:$E$351,"бел.яз и лит.",'Самопроверка по школам'!$J$2:$J$351,"")</f>
        <v>0</v>
      </c>
      <c r="G15" s="17">
        <f>COUNTIFS('Самопроверка по школам'!$D$2:$D$351,"Ходцевская ДССШ",'Самопроверка по школам'!$E$2:$E$351,"Русский язык и литература",'Самопроверка по школам'!$J$2:$J$351,"")</f>
        <v>0</v>
      </c>
      <c r="H15" s="17">
        <f>COUNTIFS('Самопроверка по школам'!$J$2:$J$351,"",'Самопроверка по школам'!$E$2:$E$351,"Английский язык",'Самопроверка по школам'!$D$2:$D$351,"Ходцевская ДССШ")</f>
        <v>1</v>
      </c>
      <c r="I15" s="17">
        <f>COUNTIFS('Самопроверка по школам'!$J$2:$J$351,"",'Самопроверка по школам'!$E$2:$E$351,"нем.яз.",'Самопроверка по школам'!$D$2:$D$351,"Ходцевская ДССШ")</f>
        <v>0</v>
      </c>
      <c r="J15" s="17">
        <f>COUNTIFS('Самопроверка по школам'!$D$2:$D$351,"Ходцевская ДССШ",'Самопроверка по школам'!$E$2:$E$351,"математика",'Самопроверка по школам'!$J$2:$J$351,"")</f>
        <v>0</v>
      </c>
      <c r="K15" s="17">
        <f>COUNTIFS('Самопроверка по школам'!$D$2:$D$351,"Ходцевская ДССШ",'Самопроверка по школам'!$E$2:$E$351,"информатика",'Самопроверка по школам'!$J$2:$J$351,"")</f>
        <v>0</v>
      </c>
      <c r="L15" s="17">
        <f>COUNTIFS('Самопроверка по школам'!$D$2:$D$351,"Ходцевская ДССШ",'Самопроверка по школам'!$E$2:$E$351,"история",'Самопроверка по школам'!$J$2:$J$351,"")</f>
        <v>0</v>
      </c>
      <c r="M15" s="17">
        <f>COUNTIFS('Самопроверка по школам'!$D$2:$D$351,"Ходцевская ДССШ",'Самопроверка по школам'!$E$2:$E$351,"обществоведение",'Самопроверка по школам'!$J$2:$J$351,"")</f>
        <v>0</v>
      </c>
      <c r="N15" s="17">
        <f>COUNTIFS('Самопроверка по школам'!$D$2:$D$351,"Ходцевская ДССШ",'Самопроверка по школам'!$E$2:$E$351,"география",'Самопроверка по школам'!$J$2:$J$351,"")</f>
        <v>0</v>
      </c>
      <c r="O15" s="17">
        <f>COUNTIFS('Самопроверка по школам'!$J$2:$J$351,"",'Самопроверка по школам'!$E$2:$E$351,"Биология",'Самопроверка по школам'!$D$2:$D$351,"Ходцевская ДССШ")</f>
        <v>0</v>
      </c>
      <c r="P15" s="17">
        <f>COUNTIFS('Самопроверка по школам'!$D$2:$D$351,"Ходцевская ДССШ",'Самопроверка по школам'!$E$2:$E$351,"физика",'Самопроверка по школам'!$J$2:$J$351,"")</f>
        <v>0</v>
      </c>
      <c r="Q15" s="17">
        <f>COUNTIFS('Самопроверка по школам'!$J$2:$J$351,"",'Самопроверка по школам'!$E$2:$E$351,"астрономия",'Самопроверка по школам'!$D$2:$D$351,"Ходцевская ДССШ")</f>
        <v>0</v>
      </c>
      <c r="R15" s="17">
        <f>COUNTIFS('Самопроверка по школам'!$J$2:$J$351,"",'Самопроверка по школам'!$E$2:$E$351,"химия",'Самопроверка по школам'!$D$2:$D$351,"Ходцевская ДССШ")</f>
        <v>0</v>
      </c>
      <c r="S15" s="17">
        <f>COUNTIFS('Самопроверка по школам'!$J$2:$J$351,"",'Самопроверка по школам'!$E$2:$E$351,"Труд обслуживающий",'Самопроверка по школам'!$D$2:$D$351,"Ходцевская ДССШ")</f>
        <v>0</v>
      </c>
      <c r="T15" s="17">
        <f>COUNTIFS('Самопроверка по школам'!$J$2:$J$351,"",'Самопроверка по школам'!$E$2:$E$351,"Труд  технический",'Самопроверка по школам'!$D$2:$D$351,"Ходцевская ДССШ")</f>
        <v>0</v>
      </c>
      <c r="U15" s="40">
        <f t="shared" si="3"/>
        <v>1</v>
      </c>
      <c r="V15" s="41">
        <f t="shared" si="1"/>
        <v>1</v>
      </c>
      <c r="W15" s="38">
        <f t="shared" si="2"/>
        <v>5</v>
      </c>
      <c r="Y15" s="48"/>
    </row>
    <row r="16" spans="1:25" ht="15.75" customHeight="1" x14ac:dyDescent="0.25">
      <c r="A16" s="14" t="s">
        <v>72</v>
      </c>
      <c r="B16" s="100">
        <v>50</v>
      </c>
      <c r="C16" s="8">
        <f>'Предварительная Результативност'!H15</f>
        <v>9</v>
      </c>
      <c r="D16" s="54">
        <f t="shared" si="0"/>
        <v>0.22222222222222221</v>
      </c>
      <c r="E16" s="15">
        <f>'Результативность по предметам'!E16</f>
        <v>2</v>
      </c>
      <c r="F16" s="17">
        <f>COUNTIFS('Самопроверка по школам'!$D$2:$D$351,"Яновская ДСБШ",'Самопроверка по школам'!$E$2:$E$351,"бел.яз и лит.",'Самопроверка по школам'!$J$2:$J$351,"")</f>
        <v>0</v>
      </c>
      <c r="G16" s="17">
        <f>COUNTIFS('Самопроверка по школам'!$D$2:$D$351,"Яновская ДСБШ",'Самопроверка по школам'!$E$2:$E$351,"Русский язык и литература",'Самопроверка по школам'!$J$2:$J$351,"")</f>
        <v>2</v>
      </c>
      <c r="H16" s="17">
        <f>COUNTIFS('Самопроверка по школам'!$J$2:$J$351,"",'Самопроверка по школам'!$E$2:$E$351,"Английский язык",'Самопроверка по школам'!$D$2:$D$351,"Яновская ДСБШ")</f>
        <v>0</v>
      </c>
      <c r="I16" s="17">
        <f>COUNTIFS('Самопроверка по школам'!$J$2:$J$351,"",'Самопроверка по школам'!$E$2:$E$351,"нем.яз.",'Самопроверка по школам'!$D$2:$D$351,"Яновская ДСБШ")</f>
        <v>0</v>
      </c>
      <c r="J16" s="17">
        <f>COUNTIFS('Самопроверка по школам'!$D$2:$D$351,"Яновская ДСБШ",'Самопроверка по школам'!$E$2:$E$351,"математика",'Самопроверка по школам'!$J$2:$J$351,"")</f>
        <v>3</v>
      </c>
      <c r="K16" s="17">
        <f>COUNTIFS('Самопроверка по школам'!$D$2:$D$351,"Яновская ДСБШ",'Самопроверка по школам'!$E$2:$E$351,"информатика",'Самопроверка по школам'!$J$2:$J$351,"")</f>
        <v>0</v>
      </c>
      <c r="L16" s="17">
        <f>COUNTIFS('Самопроверка по школам'!$D$2:$D$351,"Яновская ДСБШ",'Самопроверка по школам'!$E$2:$E$351,"история",'Самопроверка по школам'!$J$2:$J$351,"")</f>
        <v>0</v>
      </c>
      <c r="M16" s="17">
        <f>COUNTIFS('Самопроверка по школам'!$D$2:$D$351,"Яновская ДСБШ",'Самопроверка по школам'!$E$2:$E$351,"обществоведение",'Самопроверка по школам'!$J$2:$J$351,"")</f>
        <v>0</v>
      </c>
      <c r="N16" s="17">
        <f>COUNTIFS('Самопроверка по школам'!$D$2:$D$351,"Яновская ДСБШ",'Самопроверка по школам'!$E$2:$E$351,"география",'Самопроверка по школам'!$J$2:$J$351,"")</f>
        <v>0</v>
      </c>
      <c r="O16" s="17">
        <f>COUNTIFS('Самопроверка по школам'!$J$2:$J$351,"",'Самопроверка по школам'!$E$2:$E$351,"Биология",'Самопроверка по школам'!$D$2:$D$351,"Яновская ДСБШ")</f>
        <v>0</v>
      </c>
      <c r="P16" s="17">
        <f>COUNTIFS('Самопроверка по школам'!$D$2:$D$351,"Яновская ДСБШ",'Самопроверка по школам'!$E$2:$E$351,"физика",'Самопроверка по школам'!$J$2:$J$351,"")</f>
        <v>0</v>
      </c>
      <c r="Q16" s="17">
        <f>COUNTIFS('Самопроверка по школам'!$J$2:$J$351,"",'Самопроверка по школам'!$E$2:$E$351,"астрономия",'Самопроверка по школам'!$D$2:$D$351,"Яновская ДСБШ")</f>
        <v>0</v>
      </c>
      <c r="R16" s="17">
        <f>COUNTIFS('Самопроверка по школам'!$J$2:$J$351,"",'Самопроверка по школам'!$E$2:$E$351,"химия",'Самопроверка по школам'!$D$2:$D$351,"Яновская ДСБШ")</f>
        <v>0</v>
      </c>
      <c r="S16" s="17">
        <f>COUNTIFS('Самопроверка по школам'!$J$2:$J$351,"",'Самопроверка по школам'!$E$2:$E$351,"Труд обслуживающий",'Самопроверка по школам'!$D$2:$D$351,"Яновская ДСБШ")</f>
        <v>0</v>
      </c>
      <c r="T16" s="17">
        <f>COUNTIFS('Самопроверка по школам'!$J$2:$J$351,"",'Самопроверка по школам'!$E$2:$E$351,"Труд  технический",'Самопроверка по школам'!$D$2:$D$351,"Яновская ДСБШ")</f>
        <v>0</v>
      </c>
      <c r="U16" s="40">
        <f t="shared" si="3"/>
        <v>5</v>
      </c>
      <c r="V16" s="41">
        <f t="shared" si="1"/>
        <v>2</v>
      </c>
      <c r="W16" s="38">
        <f t="shared" si="2"/>
        <v>9</v>
      </c>
      <c r="Y16" s="48"/>
    </row>
    <row r="17" spans="1:23" ht="31.5" hidden="1" customHeight="1" x14ac:dyDescent="0.25">
      <c r="A17" s="14" t="s">
        <v>40</v>
      </c>
      <c r="B17" s="14">
        <v>26</v>
      </c>
      <c r="C17" s="8">
        <f>'Предварительная Результативност'!H17</f>
        <v>0</v>
      </c>
      <c r="D17" s="51" t="e">
        <f t="shared" si="0"/>
        <v>#DIV/0!</v>
      </c>
      <c r="E17" s="15">
        <f>'Результативность по предметам'!E17</f>
        <v>0</v>
      </c>
      <c r="F17" s="17">
        <f>COUNTIFS('Самопроверка по школам'!$D$2:$D$68,"Богушевская санаторн. школа-интернат",'Самопроверка по школам'!$E$2:$E$68,"бел.яз и лит.",'Самопроверка по школам'!$J$2:$J$68,"")</f>
        <v>0</v>
      </c>
      <c r="G17" s="17">
        <f>COUNTIFS('Самопроверка по школам'!$D$2:$D$68,"Богушевская санаторн. школа-интернат",'Самопроверка по школам'!$E$2:$E$68,"Русский язык и литература",'Самопроверка по школам'!$J$2:$J$68,"")</f>
        <v>0</v>
      </c>
      <c r="H17" s="17">
        <f>COUNTIFS('Самопроверка по школам'!$J$2:$J$68,"",'Самопроверка по школам'!$E$2:$E$68,"Английский язык",'Самопроверка по школам'!$D$2:$D$68,"Богушевская санаторн. школа-интернат")</f>
        <v>0</v>
      </c>
      <c r="I17" s="17">
        <f>COUNTIFS('Самопроверка по школам'!$J$2:$J$68,"",'Самопроверка по школам'!$E$2:$E$68,"нем.яз",'Самопроверка по школам'!$D$2:$D$68,"Богушевская санаторн. школа-интернат")</f>
        <v>0</v>
      </c>
      <c r="J17" s="17">
        <f>COUNTIFS('Самопроверка по школам'!$D$2:$D$68,"Богушевская санаторн. школа-интернат",'Самопроверка по школам'!$E$2:$E$68,"математика",'Самопроверка по школам'!$J$2:$J$68,"")</f>
        <v>0</v>
      </c>
      <c r="K17" s="17">
        <f>COUNTIFS('Самопроверка по школам'!$D$2:$D$68,"Богушевская санаторн. школа-интернат",'Самопроверка по школам'!$E$2:$E$68,"информатика",'Самопроверка по школам'!$J$2:$J$68,"")</f>
        <v>0</v>
      </c>
      <c r="L17" s="17">
        <f>COUNTIFS('Самопроверка по школам'!$D$2:$D$68,"Богушевская санаторн. школа-интернат",'Самопроверка по школам'!$E$2:$E$68,"история",'Самопроверка по школам'!$J$2:$J$68,"")</f>
        <v>0</v>
      </c>
      <c r="M17" s="17">
        <f>COUNTIFS('Самопроверка по школам'!$D$2:$D$68,"Богушевская санаторн. школа-интернат",'Самопроверка по школам'!$E$2:$E$68,"обществоведение",'Самопроверка по школам'!$J$2:$J$68,"")</f>
        <v>0</v>
      </c>
      <c r="N17" s="17">
        <f>COUNTIFS('Самопроверка по школам'!$D$2:$D$68,"Богушевская санаторн. школа-интернат",'Самопроверка по школам'!$E$2:$E$68,"география",'Самопроверка по школам'!$J$2:$J$68,"")</f>
        <v>0</v>
      </c>
      <c r="O17" s="17">
        <f>COUNTIFS('Самопроверка по школам'!$J$2:$J$68,"",'Самопроверка по школам'!$E$2:$E$68,"Биология",'Самопроверка по школам'!$D$2:$D$68,"Богушевская санаторн. школа-интернат")</f>
        <v>0</v>
      </c>
      <c r="P17" s="17">
        <f>COUNTIFS('Самопроверка по школам'!$D$2:$D$68,"Богушевская санаторн. школа-интернат",'Самопроверка по школам'!$E$2:$E$68,"физика",'Самопроверка по школам'!$J$2:$J$68,"")</f>
        <v>0</v>
      </c>
      <c r="Q17" s="17">
        <f>COUNTIFS('Самопроверка по школам'!$J$2:$J$68,"",'Самопроверка по школам'!$E$2:$E$68,"астрономия",'Самопроверка по школам'!$D$2:$D$68,"Богушевская санаторн. школа-интернат")</f>
        <v>0</v>
      </c>
      <c r="R17" s="17">
        <f>COUNTIFS('Самопроверка по школам'!$J$2:$J$68,"",'Самопроверка по школам'!$E$2:$E$68,"химия",'Самопроверка по школам'!$D$2:$D$68,"Богушевская санаторн. школа-интернат")</f>
        <v>0</v>
      </c>
      <c r="S17" s="17"/>
      <c r="T17" s="17">
        <f>COUNTIFS('Самопроверка по школам'!$J$2:$J$68,"",'Самопроверка по школам'!$E$2:$E$68,"Трудовое обучение",'Самопроверка по школам'!$D$2:$D$68,"Богушевская санаторн. школа-интернат")</f>
        <v>0</v>
      </c>
      <c r="U17" s="40">
        <f t="shared" si="3"/>
        <v>0</v>
      </c>
      <c r="V17" s="41">
        <f t="shared" si="1"/>
        <v>0</v>
      </c>
      <c r="W17" s="38">
        <f t="shared" si="2"/>
        <v>0</v>
      </c>
    </row>
    <row r="18" spans="1:23" ht="15.75" hidden="1" customHeight="1" x14ac:dyDescent="0.25">
      <c r="A18" s="14" t="s">
        <v>25</v>
      </c>
      <c r="B18" s="14">
        <v>15</v>
      </c>
      <c r="C18" s="8">
        <f>'Предварительная Результативност'!H18</f>
        <v>0</v>
      </c>
      <c r="D18" s="51" t="e">
        <f t="shared" si="0"/>
        <v>#DIV/0!</v>
      </c>
      <c r="E18" s="15">
        <f>'Результативность по предметам'!E18</f>
        <v>0</v>
      </c>
      <c r="F18" s="17">
        <f>COUNTIFS('Самопроверка по школам'!$D$2:$D$68,"Немойтовская ДСБШ",'Самопроверка по школам'!$E$2:$E$68,"бел.яз и лит.",'Самопроверка по школам'!$J$2:$J$68,"")</f>
        <v>0</v>
      </c>
      <c r="G18" s="17">
        <f>COUNTIFS('Самопроверка по школам'!$D$2:$D$68,"Немойтовская ДСБШ",'Самопроверка по школам'!$E$2:$E$68,"Русский язык и литература",'Самопроверка по школам'!$J$2:$J$68,"")</f>
        <v>0</v>
      </c>
      <c r="H18" s="17">
        <f>COUNTIFS('Самопроверка по школам'!$J$2:$J$68,"",'Самопроверка по школам'!$E$2:$E$68,"Английский язык",'Самопроверка по школам'!$D$2:$D$68,"Немойтовская ДСБШ")</f>
        <v>0</v>
      </c>
      <c r="I18" s="17">
        <f>COUNTIFS('Самопроверка по школам'!$J$2:$J$68,"",'Самопроверка по школам'!$E$2:$E$68,"нем.яз",'Самопроверка по школам'!$D$2:$D$68,"Немойтовская ДСБШ")</f>
        <v>0</v>
      </c>
      <c r="J18" s="17">
        <f>COUNTIFS('Самопроверка по школам'!$D$2:$D$68,"Немойтовская ДСБШ",'Самопроверка по школам'!$E$2:$E$68,"математика",'Самопроверка по школам'!$J$2:$J$68,"")</f>
        <v>0</v>
      </c>
      <c r="K18" s="17">
        <f>COUNTIFS('Самопроверка по школам'!$D$2:$D$68,"Немойтовская ДСБШ",'Самопроверка по школам'!$E$2:$E$68,"информатика",'Самопроверка по школам'!$J$2:$J$68,"")</f>
        <v>0</v>
      </c>
      <c r="L18" s="17">
        <f>COUNTIFS('Самопроверка по школам'!$D$2:$D$68,"Немойтовская ДСБШ",'Самопроверка по школам'!$E$2:$E$68,"история",'Самопроверка по школам'!$J$2:$J$68,"")</f>
        <v>0</v>
      </c>
      <c r="M18" s="17">
        <f>COUNTIFS('Самопроверка по школам'!$D$2:$D$68,"Немойтовская ДСБШ",'Самопроверка по школам'!$E$2:$E$68,"обществоведение",'Самопроверка по школам'!$J$2:$J$68,"")</f>
        <v>0</v>
      </c>
      <c r="N18" s="17">
        <f>COUNTIFS('Самопроверка по школам'!$D$2:$D$68,"Немойтовская ДСБШ",'Самопроверка по школам'!$E$2:$E$68,"география",'Самопроверка по школам'!$J$2:$J$68,"")</f>
        <v>0</v>
      </c>
      <c r="O18" s="17">
        <f>COUNTIFS('Самопроверка по школам'!$J$2:$J$68,"",'Самопроверка по школам'!$E$2:$E$68,"Биология",'Самопроверка по школам'!$D$2:$D$68,"Немойтовская ДСБШ")</f>
        <v>0</v>
      </c>
      <c r="P18" s="17">
        <f>COUNTIFS('Самопроверка по школам'!$D$2:$D$68,"Немойтовская ДСБШ",'Самопроверка по школам'!$E$2:$E$68,"физика",'Самопроверка по школам'!$J$2:$J$68,"")</f>
        <v>0</v>
      </c>
      <c r="Q18" s="17">
        <f>COUNTIFS('Самопроверка по школам'!$J$2:$J$68,"",'Самопроверка по школам'!$E$2:$E$68,"астрономия",'Самопроверка по школам'!$D$2:$D$68,"Немойтовская ДСБШ")</f>
        <v>0</v>
      </c>
      <c r="R18" s="17">
        <f>COUNTIFS('Самопроверка по школам'!$J$2:$J$68,"",'Самопроверка по школам'!$E$2:$E$68,"химия",'Самопроверка по школам'!$D$2:$D$68,"Немойтовская ДСБШ")</f>
        <v>0</v>
      </c>
      <c r="S18" s="17"/>
      <c r="T18" s="17">
        <f>COUNTIFS('Самопроверка по школам'!$J$2:$J$68,"",'Самопроверка по школам'!$E$2:$E$68,"Трудовое обучение",'Самопроверка по школам'!$D$2:$D$68,"Немойтовская ДСБШ")</f>
        <v>0</v>
      </c>
      <c r="U18" s="40">
        <f t="shared" si="3"/>
        <v>0</v>
      </c>
      <c r="V18" s="41">
        <f t="shared" si="1"/>
        <v>0</v>
      </c>
      <c r="W18" s="38">
        <f t="shared" si="2"/>
        <v>0</v>
      </c>
    </row>
    <row r="19" spans="1:23" ht="15.75" hidden="1" customHeight="1" x14ac:dyDescent="0.25">
      <c r="A19" s="14" t="s">
        <v>20</v>
      </c>
      <c r="B19" s="14">
        <v>7</v>
      </c>
      <c r="C19" s="8">
        <f>'Предварительная Результативност'!H19</f>
        <v>0</v>
      </c>
      <c r="D19" s="51" t="e">
        <f t="shared" si="0"/>
        <v>#DIV/0!</v>
      </c>
      <c r="E19" s="15">
        <f>'Результативность по предметам'!E19</f>
        <v>0</v>
      </c>
      <c r="F19" s="17">
        <f>COUNTIFS('Самопроверка по школам'!$D$2:$D$68,"Ульяновичская ДСБШ",'Самопроверка по школам'!$E$2:$E$68,"бел.яз и лит.",'Самопроверка по школам'!$J$2:$J$68,"")</f>
        <v>0</v>
      </c>
      <c r="G19" s="17">
        <f>COUNTIFS('Самопроверка по школам'!$D$2:$D$68,"Ульяновичская ДСБШ",'Самопроверка по школам'!$E$2:$E$68,"Русский язык и литература",'Самопроверка по школам'!$J$2:$J$68,"")</f>
        <v>0</v>
      </c>
      <c r="H19" s="17">
        <f>COUNTIFS('Самопроверка по школам'!$J$2:$J$68,"",'Самопроверка по школам'!$E$2:$E$68,"Английский язык",'Самопроверка по школам'!$D$2:$D$68,"Ульяновичская ДСБШ")</f>
        <v>0</v>
      </c>
      <c r="I19" s="17">
        <f>COUNTIFS('Самопроверка по школам'!$J$2:$J$68,"",'Самопроверка по школам'!$E$2:$E$68,"нем.яз",'Самопроверка по школам'!$D$2:$D$68,"Ульяновичская ДСБШ")</f>
        <v>0</v>
      </c>
      <c r="J19" s="17">
        <f>COUNTIFS('Самопроверка по школам'!$D$2:$D$68,"Ульяновичская ДСБШ",'Самопроверка по школам'!$E$2:$E$68,"математика",'Самопроверка по школам'!$J$2:$J$68,"")</f>
        <v>0</v>
      </c>
      <c r="K19" s="17">
        <f>COUNTIFS('Самопроверка по школам'!$D$2:$D$68,"Ульяновичская ДСБШ",'Самопроверка по школам'!$E$2:$E$68,"информатика",'Самопроверка по школам'!$J$2:$J$68,"")</f>
        <v>0</v>
      </c>
      <c r="L19" s="17">
        <f>COUNTIFS('Самопроверка по школам'!$D$2:$D$68,"Ульяновичская ДСБШ",'Самопроверка по школам'!$E$2:$E$68,"история",'Самопроверка по школам'!$J$2:$J$68,"")</f>
        <v>0</v>
      </c>
      <c r="M19" s="17">
        <f>COUNTIFS('Самопроверка по школам'!$D$2:$D$68,"Ульяновичская ДСБШ",'Самопроверка по школам'!$E$2:$E$68,"обществоведение",'Самопроверка по школам'!$J$2:$J$68,"")</f>
        <v>0</v>
      </c>
      <c r="N19" s="17">
        <f>COUNTIFS('Самопроверка по школам'!$D$2:$D$68,"Ульяновичская ДСБШ",'Самопроверка по школам'!$E$2:$E$68,"география",'Самопроверка по школам'!$J$2:$J$68,"")</f>
        <v>0</v>
      </c>
      <c r="O19" s="17">
        <f>COUNTIFS('Самопроверка по школам'!$J$2:$J$68,"",'Самопроверка по школам'!$E$2:$E$68,"Биология",'Самопроверка по школам'!$D$2:$D$68,"Ульяновичская ДСБШ")</f>
        <v>0</v>
      </c>
      <c r="P19" s="17">
        <f>COUNTIFS('Самопроверка по школам'!$D$2:$D$68,"Ульяновичская ДСБШ",'Самопроверка по школам'!$E$2:$E$68,"физика",'Самопроверка по школам'!$J$2:$J$68,"")</f>
        <v>0</v>
      </c>
      <c r="Q19" s="17">
        <f>COUNTIFS('Самопроверка по школам'!$J$2:$J$68,"",'Самопроверка по школам'!$E$2:$E$68,"астрономия",'Самопроверка по школам'!$D$2:$D$68,"Ульяновичская ДСБШ")</f>
        <v>0</v>
      </c>
      <c r="R19" s="17">
        <f>COUNTIFS('Самопроверка по школам'!$J$2:$J$68,"",'Самопроверка по школам'!$E$2:$E$68,"химия",'Самопроверка по школам'!$D$2:$D$68,"Ульяновичская ДСБШ")</f>
        <v>0</v>
      </c>
      <c r="S19" s="17"/>
      <c r="T19" s="17">
        <f>COUNTIFS('Самопроверка по школам'!$J$2:$J$68,"",'Самопроверка по школам'!$E$2:$E$68,"Трудовое обучение",'Самопроверка по школам'!$D$2:$D$68,"Ульяновичская ДСБШ")</f>
        <v>0</v>
      </c>
      <c r="U19" s="40">
        <f t="shared" si="3"/>
        <v>0</v>
      </c>
      <c r="V19" s="41">
        <f t="shared" si="1"/>
        <v>0</v>
      </c>
      <c r="W19" s="38">
        <f t="shared" si="2"/>
        <v>0</v>
      </c>
    </row>
    <row r="20" spans="1:23" ht="31.5" customHeight="1" x14ac:dyDescent="0.25">
      <c r="A20" s="22" t="s">
        <v>41</v>
      </c>
      <c r="B20" s="62">
        <f>SUM(B5:B16)</f>
        <v>1064</v>
      </c>
      <c r="C20" s="58">
        <f>SUM(C5:C19)</f>
        <v>239</v>
      </c>
      <c r="D20" s="84">
        <f>E20/C20</f>
        <v>0.35146443514644349</v>
      </c>
      <c r="E20" s="15">
        <f>'Результативность по предметам'!E20</f>
        <v>84</v>
      </c>
      <c r="F20" s="24">
        <f>SUM(F5:F19)</f>
        <v>18</v>
      </c>
      <c r="G20" s="25">
        <f>SUM(G5:G19)</f>
        <v>23</v>
      </c>
      <c r="H20" s="26">
        <f t="shared" ref="H20:R20" si="4">SUM(H3:H19)</f>
        <v>3</v>
      </c>
      <c r="I20" s="27">
        <f t="shared" si="4"/>
        <v>0</v>
      </c>
      <c r="J20" s="28">
        <f t="shared" si="4"/>
        <v>20</v>
      </c>
      <c r="K20" s="29">
        <f t="shared" si="4"/>
        <v>0</v>
      </c>
      <c r="L20" s="30">
        <f t="shared" si="4"/>
        <v>11</v>
      </c>
      <c r="M20" s="31">
        <f t="shared" si="4"/>
        <v>0</v>
      </c>
      <c r="N20" s="29">
        <f t="shared" si="4"/>
        <v>8</v>
      </c>
      <c r="O20" s="32">
        <f t="shared" si="4"/>
        <v>3</v>
      </c>
      <c r="P20" s="26">
        <f t="shared" si="4"/>
        <v>2</v>
      </c>
      <c r="Q20" s="33">
        <f>SUM(Q3:Q19)</f>
        <v>0</v>
      </c>
      <c r="R20" s="28">
        <f t="shared" si="4"/>
        <v>2</v>
      </c>
      <c r="S20" s="28"/>
      <c r="T20" s="34">
        <f>SUM(T5:T19)</f>
        <v>2</v>
      </c>
      <c r="U20" s="78">
        <f t="shared" si="3"/>
        <v>92</v>
      </c>
      <c r="V20" s="79">
        <f t="shared" si="1"/>
        <v>63</v>
      </c>
      <c r="W20" s="38">
        <f t="shared" si="2"/>
        <v>239</v>
      </c>
    </row>
    <row r="21" spans="1:23" ht="15.75" customHeight="1" x14ac:dyDescent="0.25">
      <c r="A21" s="1"/>
      <c r="B21" s="1"/>
      <c r="C21" s="1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2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</sheetData>
  <mergeCells count="24">
    <mergeCell ref="P3:P4"/>
    <mergeCell ref="Q3:Q4"/>
    <mergeCell ref="R3:R4"/>
    <mergeCell ref="F2:T2"/>
    <mergeCell ref="A2:A4"/>
    <mergeCell ref="L3:L4"/>
    <mergeCell ref="M3:M4"/>
    <mergeCell ref="S3:S4"/>
    <mergeCell ref="A1:V1"/>
    <mergeCell ref="N3:N4"/>
    <mergeCell ref="O3:O4"/>
    <mergeCell ref="B2:B4"/>
    <mergeCell ref="C2:C4"/>
    <mergeCell ref="D2:D4"/>
    <mergeCell ref="K3:K4"/>
    <mergeCell ref="E2:E4"/>
    <mergeCell ref="U2:U4"/>
    <mergeCell ref="V2:V4"/>
    <mergeCell ref="T3:T4"/>
    <mergeCell ref="F3:F4"/>
    <mergeCell ref="G3:G4"/>
    <mergeCell ref="H3:H4"/>
    <mergeCell ref="I3:I4"/>
    <mergeCell ref="J3:J4"/>
  </mergeCells>
  <pageMargins left="1.2598425196850394" right="0.19685039370078741" top="0.74803149606299213" bottom="0.74803149606299213" header="0.31496062992125984" footer="0.31496062992125984"/>
  <pageSetup paperSize="9" scale="9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8"/>
  <sheetViews>
    <sheetView workbookViewId="0">
      <selection activeCell="R8" sqref="R8"/>
    </sheetView>
  </sheetViews>
  <sheetFormatPr defaultRowHeight="15" x14ac:dyDescent="0.25"/>
  <cols>
    <col min="1" max="1" width="5.42578125" style="5" customWidth="1"/>
    <col min="2" max="2" width="28.140625" style="5" customWidth="1"/>
    <col min="3" max="4" width="7.140625" style="5" customWidth="1"/>
    <col min="5" max="5" width="6.28515625" style="5" customWidth="1"/>
    <col min="6" max="6" width="6.42578125" style="5" customWidth="1"/>
    <col min="7" max="7" width="4.85546875" style="5" customWidth="1"/>
    <col min="8" max="8" width="5" style="5" customWidth="1"/>
    <col min="9" max="9" width="5.42578125" style="5" customWidth="1"/>
    <col min="10" max="10" width="6.140625" style="5" customWidth="1"/>
    <col min="11" max="11" width="6" style="5" customWidth="1"/>
    <col min="12" max="12" width="5.42578125" style="5" customWidth="1"/>
    <col min="13" max="13" width="6.7109375" style="5" customWidth="1"/>
    <col min="14" max="14" width="6.28515625" style="5" customWidth="1"/>
    <col min="15" max="15" width="5.5703125" style="5" customWidth="1"/>
    <col min="16" max="17" width="5.42578125" style="5" customWidth="1"/>
    <col min="18" max="18" width="5.140625" style="5" customWidth="1"/>
    <col min="19" max="16384" width="9.140625" style="5"/>
  </cols>
  <sheetData>
    <row r="1" spans="1:22" ht="97.5" customHeight="1" x14ac:dyDescent="0.25">
      <c r="A1" s="238" t="s">
        <v>328</v>
      </c>
      <c r="B1" s="239"/>
      <c r="C1" s="240"/>
      <c r="D1" s="182" t="s">
        <v>29</v>
      </c>
      <c r="E1" s="184" t="s">
        <v>30</v>
      </c>
      <c r="F1" s="186" t="s">
        <v>31</v>
      </c>
      <c r="G1" s="241" t="s">
        <v>32</v>
      </c>
      <c r="H1" s="192" t="s">
        <v>33</v>
      </c>
      <c r="I1" s="156" t="s">
        <v>34</v>
      </c>
      <c r="J1" s="196" t="s">
        <v>35</v>
      </c>
      <c r="K1" s="198" t="s">
        <v>36</v>
      </c>
      <c r="L1" s="156" t="s">
        <v>37</v>
      </c>
      <c r="M1" s="200" t="s">
        <v>44</v>
      </c>
      <c r="N1" s="186" t="s">
        <v>45</v>
      </c>
      <c r="O1" s="190" t="s">
        <v>46</v>
      </c>
      <c r="P1" s="192" t="s">
        <v>47</v>
      </c>
      <c r="Q1" s="235" t="s">
        <v>158</v>
      </c>
      <c r="R1" s="235" t="s">
        <v>159</v>
      </c>
      <c r="S1" s="237"/>
    </row>
    <row r="2" spans="1:22" ht="35.25" customHeight="1" x14ac:dyDescent="0.25">
      <c r="A2" s="36" t="s">
        <v>21</v>
      </c>
      <c r="B2" s="37" t="s">
        <v>1</v>
      </c>
      <c r="C2" s="81" t="s">
        <v>23</v>
      </c>
      <c r="D2" s="183"/>
      <c r="E2" s="185"/>
      <c r="F2" s="187"/>
      <c r="G2" s="242"/>
      <c r="H2" s="193"/>
      <c r="I2" s="157"/>
      <c r="J2" s="197"/>
      <c r="K2" s="199"/>
      <c r="L2" s="157"/>
      <c r="M2" s="201"/>
      <c r="N2" s="187"/>
      <c r="O2" s="191"/>
      <c r="P2" s="193"/>
      <c r="Q2" s="236"/>
      <c r="R2" s="236"/>
      <c r="S2" s="237"/>
    </row>
    <row r="3" spans="1:22" ht="18.75" x14ac:dyDescent="0.25">
      <c r="A3" s="6">
        <v>1</v>
      </c>
      <c r="B3" s="9" t="s">
        <v>13</v>
      </c>
      <c r="C3" s="6">
        <f>COUNTIFS('Самопроверка по школам'!J2:J351,"п.л.",'Самопроверка по школам'!D2:D351,"СШ №1 г.Сенно")</f>
        <v>12</v>
      </c>
      <c r="D3" s="17">
        <f>COUNTIFS('Самопроверка по школам'!$D$2:$D$351,"СШ №1 г.Сенно",'Самопроверка по школам'!$E$2:$E$351,"бел.яз и лит.",'Самопроверка по школам'!$J$2:$J$351,"п.л.")</f>
        <v>2</v>
      </c>
      <c r="E3" s="17">
        <f>COUNTIFS('Самопроверка по школам'!$D$2:$D$351,"СШ №1 г.Сенно",'Самопроверка по школам'!$E$2:$E$351,"Русский язык и литература",'Самопроверка по школам'!$J$2:$J$351,"п.л.")</f>
        <v>2</v>
      </c>
      <c r="F3" s="17">
        <f>COUNTIFS('Самопроверка по школам'!$J$2:$J$351,"п.л.",'Самопроверка по школам'!$E$2:$E$351,"Английский язык",'Самопроверка по школам'!$D$2:$D$351,"СШ №1 г.Сенно")</f>
        <v>0</v>
      </c>
      <c r="G3" s="17">
        <f>COUNTIFS('Самопроверка по школам'!$J$2:$J$351,"п.л.",'Самопроверка по школам'!$E$2:$E$351,"нем.яз.",'Самопроверка по школам'!$D$2:$D$351,"СШ №1 г.Сенно")</f>
        <v>0</v>
      </c>
      <c r="H3" s="17">
        <f>COUNTIFS('Самопроверка по школам'!$D$2:$D$351,"СШ №1 г.Сенно",'Самопроверка по школам'!$E$2:$E$351,"математика",'Самопроверка по школам'!$J$2:$J$351,"п.л.")</f>
        <v>4</v>
      </c>
      <c r="I3" s="17">
        <f>COUNTIFS('Самопроверка по школам'!$D$2:$D$351,"СШ №1 г.Сенно",'Самопроверка по школам'!$E$2:$E$351,"информатика",'Самопроверка по школам'!$J$2:$J$351,"п.л.")</f>
        <v>0</v>
      </c>
      <c r="J3" s="17">
        <f>COUNTIFS('Самопроверка по школам'!$D$2:$D$351,"СШ №1 г.Сенно",'Самопроверка по школам'!$E$2:$E$351,"история",'Самопроверка по школам'!$J$2:$J$351,"п.л.")</f>
        <v>1</v>
      </c>
      <c r="K3" s="17">
        <f>COUNTIFS('Самопроверка по школам'!$D$2:$D$351,"СШ №1 г.Сенно",'Самопроверка по школам'!$E$2:$E$351,"обществоведение",'Самопроверка по школам'!$J$2:$J$351,"п.л.")</f>
        <v>0</v>
      </c>
      <c r="L3" s="17">
        <f>COUNTIFS('Самопроверка по школам'!$D$2:$D$351,"СШ №1 г.Сенно",'Самопроверка по школам'!$E$2:$E$351,"география",'Самопроверка по школам'!$J$2:$J$351,"п.л.")</f>
        <v>0</v>
      </c>
      <c r="M3" s="17">
        <f>COUNTIFS('Самопроверка по школам'!$J$2:$J$351,"п.л.",'Самопроверка по школам'!$E$2:$E$351,"Биология",'Самопроверка по школам'!$D$2:$D$351,"СШ №1 г.Сенно")</f>
        <v>2</v>
      </c>
      <c r="N3" s="17">
        <f>COUNTIFS('Самопроверка по школам'!$D$2:$D$351,"СШ №1 г.Сенно",'Самопроверка по школам'!$E$2:$E$351,"физика",'Самопроверка по школам'!$J$2:$J$351,"п.л.")</f>
        <v>0</v>
      </c>
      <c r="O3" s="17">
        <f>COUNTIFS('Самопроверка по школам'!$J$2:$J$351,"п.л.",'Самопроверка по школам'!$E$2:$E$351,"астрономия",'Самопроверка по школам'!$D$2:$D$351,"СШ №1 г.Сенно")</f>
        <v>0</v>
      </c>
      <c r="P3" s="17">
        <f>COUNTIFS('Самопроверка по школам'!$J$2:$J$351,"п.л.",'Самопроверка по школам'!$E$2:$E$351,"химия",'Самопроверка по школам'!$D$2:$D$351,"СШ №1 г.Сенно")</f>
        <v>0</v>
      </c>
      <c r="Q3" s="17">
        <f>COUNTIFS('Самопроверка по школам'!$J$2:$J$351,"п.л.",'Самопроверка по школам'!$E$2:$E$351,"Труд обслуживающий",'Самопроверка по школам'!$D$2:$D$351,"СШ №1 г.Сенно")</f>
        <v>0</v>
      </c>
      <c r="R3" s="17">
        <f>COUNTIFS('Самопроверка по школам'!$J$2:$J$351,"п.л.",'Самопроверка по школам'!$E$2:$E$351,"Труд  технический",'Самопроверка по школам'!$D$2:$D$351,"СШ №1 г.Сенно")</f>
        <v>1</v>
      </c>
      <c r="S3" s="48">
        <f>SUM(D3:R3)</f>
        <v>12</v>
      </c>
      <c r="T3" s="48"/>
      <c r="V3" s="48"/>
    </row>
    <row r="4" spans="1:22" ht="18.75" x14ac:dyDescent="0.25">
      <c r="A4" s="6">
        <v>2</v>
      </c>
      <c r="B4" s="7" t="s">
        <v>24</v>
      </c>
      <c r="C4" s="6">
        <f>COUNTIFS('Самопроверка по школам'!J2:J351,"п.л.",'Самопроверка по школам'!D2:D351,"СШ №2г.Сенно")</f>
        <v>20</v>
      </c>
      <c r="D4" s="17">
        <f>COUNTIFS('Самопроверка по школам'!$D$2:$D$351,"СШ №2г.Сенно",'Самопроверка по школам'!$E$2:$E$351,"бел.яз и лит.",'Самопроверка по школам'!$J$2:$J$351,"п.л.")</f>
        <v>5</v>
      </c>
      <c r="E4" s="17">
        <f>COUNTIFS('Самопроверка по школам'!$D$2:$D$351,"СШ №2г.Сенно",'Самопроверка по школам'!$E$2:$E$351,"Русский язык и литература",'Самопроверка по школам'!$J$2:$J$351,"п.л.")</f>
        <v>9</v>
      </c>
      <c r="F4" s="17">
        <f>COUNTIFS('Самопроверка по школам'!$J$2:$J$351,"п.л.",'Самопроверка по школам'!$E$2:$E$351,"Английский язык",'Самопроверка по школам'!$D$2:$D$351,"СШ №2г.Сенно")</f>
        <v>0</v>
      </c>
      <c r="G4" s="17">
        <f>COUNTIFS('Самопроверка по школам'!$J$2:$J$351,"п.л.",'Самопроверка по школам'!$E$2:$E$351,"нем.яз.",'Самопроверка по школам'!$D$2:$D$351,"СШ №2г.Сенно")</f>
        <v>0</v>
      </c>
      <c r="H4" s="17">
        <f>COUNTIFS('Самопроверка по школам'!$D$2:$D$351,"СШ №2г.Сенно",'Самопроверка по школам'!$E$2:$E$351,"математика",'Самопроверка по школам'!$J$2:$J$351,"п.л.")</f>
        <v>2</v>
      </c>
      <c r="I4" s="17">
        <f>COUNTIFS('Самопроверка по школам'!$D$2:$D$351,"СШ №2г.Сенно",'Самопроверка по школам'!$E$2:$E$351,"информатика",'Самопроверка по школам'!$J$2:$J$351,"п.л.")</f>
        <v>0</v>
      </c>
      <c r="J4" s="17">
        <f>COUNTIFS('Самопроверка по школам'!$D$2:$D$351,"СШ №2г.Сенно",'Самопроверка по школам'!$E$2:$E$351,"история",'Самопроверка по школам'!$J$2:$J$351,"п.л.")</f>
        <v>1</v>
      </c>
      <c r="K4" s="17">
        <f>COUNTIFS('Самопроверка по школам'!$D$2:$D$351,"СШ №2г.Сенно",'Самопроверка по школам'!$E$2:$E$351,"обществоведение",'Самопроверка по школам'!$J$2:$J$351,"п.л.")</f>
        <v>0</v>
      </c>
      <c r="L4" s="17">
        <f>COUNTIFS('Самопроверка по школам'!$D$2:$D$351,"СШ №2г.Сенно",'Самопроверка по школам'!$E$2:$E$351,"география",'Самопроверка по школам'!$J$2:$J$351,"п.л.")</f>
        <v>0</v>
      </c>
      <c r="M4" s="17">
        <f>COUNTIFS('Самопроверка по школам'!$J$2:$J$351,"п.л.",'Самопроверка по школам'!$E$2:$E$351,"Биология",'Самопроверка по школам'!$D$2:$D$351,"СШ №2г.Сенно")</f>
        <v>0</v>
      </c>
      <c r="N4" s="17">
        <f>COUNTIFS('Самопроверка по школам'!$D$2:$D$351,"СШ №2г.Сенно",'Самопроверка по школам'!$E$2:$E$351,"физика",'Самопроверка по школам'!$J$2:$J$351,"п.л.")</f>
        <v>0</v>
      </c>
      <c r="O4" s="17">
        <f>COUNTIFS('Самопроверка по школам'!$J$2:$J$351,"п.л.",'Самопроверка по школам'!$E$2:$E$351,"астрономия",'Самопроверка по школам'!$D$2:$D$351,"СШ №2г.Сенно")</f>
        <v>0</v>
      </c>
      <c r="P4" s="17">
        <f>COUNTIFS('Самопроверка по школам'!$J$2:$J$351,"п.л.",'Самопроверка по школам'!$E$2:$E$351,"химия",'Самопроверка по школам'!$D$2:$D$351,"СШ №2г.Сенно")</f>
        <v>0</v>
      </c>
      <c r="Q4" s="17">
        <f>COUNTIFS('Самопроверка по школам'!$J$2:$J$351,"п.л.",'Самопроверка по школам'!$E$2:$E$351,"Труд обслуживающий",'Самопроверка по школам'!$D$2:$D$351,"СШ №2г.Сенно")</f>
        <v>1</v>
      </c>
      <c r="R4" s="17">
        <f>COUNTIFS('Самопроверка по школам'!$J$2:$J$351,"п.л.",'Самопроверка по школам'!$E$2:$E$351,"Труд  технический",'Самопроверка по школам'!$D$2:$D$351,"СШ №2г.Сенно")</f>
        <v>2</v>
      </c>
      <c r="S4" s="48">
        <f t="shared" ref="S4:S18" si="0">SUM(D4:R4)</f>
        <v>20</v>
      </c>
      <c r="T4" s="48"/>
      <c r="V4" s="48"/>
    </row>
    <row r="5" spans="1:22" ht="18.75" hidden="1" customHeight="1" x14ac:dyDescent="0.25">
      <c r="A5" s="6">
        <v>3</v>
      </c>
      <c r="B5" s="9" t="s">
        <v>11</v>
      </c>
      <c r="C5" s="6">
        <f>COUNTIFS('Самопроверка по школам'!J2:J68,"п.л.",'Самопроверка по школам'!D2:D68,"Богушевская СШ №1")</f>
        <v>0</v>
      </c>
      <c r="D5" s="17">
        <f>COUNTIFS('Самопроверка по школам'!$D$2:$D$351,"Богушевская СШ №1",'Самопроверка по школам'!$E$2:$E$351,"бел.яз и лит.",'Самопроверка по школам'!$J$2:$J$351,"п.л.")</f>
        <v>0</v>
      </c>
      <c r="E5" s="17">
        <f>COUNTIFS('Самопроверка по школам'!$D$2:$D$351,"Богушевская СШ №1",'Самопроверка по школам'!$E$2:$E$351,"Русский язык и литература",'Самопроверка по школам'!$J$2:$J$351,"п.л.")</f>
        <v>0</v>
      </c>
      <c r="F5" s="17">
        <f>COUNTIFS('Самопроверка по школам'!$J$2:$J$351,"п.л.",'Самопроверка по школам'!$E$2:$E$351,"Английский язык",'Самопроверка по школам'!$D$2:$D$351,"Богушевская СШ №1")</f>
        <v>0</v>
      </c>
      <c r="G5" s="17">
        <f>COUNTIFS('Самопроверка по школам'!$J$2:$J$351,"п.л.",'Самопроверка по школам'!$E$2:$E$351,"нем.яз",'Самопроверка по школам'!$D$2:$D$351,"Богушевская СШ №1")</f>
        <v>0</v>
      </c>
      <c r="H5" s="17">
        <f>COUNTIFS('Самопроверка по школам'!$D$2:$D$351,"Богушевская СШ №1",'Самопроверка по школам'!$E$2:$E$351,"математика",'Самопроверка по школам'!$J$2:$J$351,"п.л.")</f>
        <v>0</v>
      </c>
      <c r="I5" s="17">
        <f>COUNTIFS('Самопроверка по школам'!$D$2:$D$351,"Богушевская СШ №1",'Самопроверка по школам'!$E$2:$E$351,"информатика",'Самопроверка по школам'!$J$2:$J$351,"п.л.")</f>
        <v>0</v>
      </c>
      <c r="J5" s="17">
        <f>COUNTIFS('Самопроверка по школам'!$D$2:$D$351,"Богушевская СШ №1",'Самопроверка по школам'!$E$2:$E$351,"история",'Самопроверка по школам'!$J$2:$J$351,"п.л.")</f>
        <v>0</v>
      </c>
      <c r="K5" s="17">
        <f>COUNTIFS('Самопроверка по школам'!$D$2:$D$351,"Богушевская СШ №1",'Самопроверка по школам'!$E$2:$E$351,"обществоведение",'Самопроверка по школам'!$J$2:$J$351,"п.л.")</f>
        <v>0</v>
      </c>
      <c r="L5" s="17">
        <f>COUNTIFS('Самопроверка по школам'!$D$2:$D$351,"Богушевская СШ №1",'Самопроверка по школам'!$E$2:$E$351,"география",'Самопроверка по школам'!$J$2:$J$351,"п.л.")</f>
        <v>0</v>
      </c>
      <c r="M5" s="17">
        <f>COUNTIFS('Самопроверка по школам'!$J$2:$J$351,"п.л.",'Самопроверка по школам'!$E$2:$E$351,"Биология",'Самопроверка по школам'!$D$2:$D$351,"Богушевская СШ №1")</f>
        <v>0</v>
      </c>
      <c r="N5" s="17">
        <f>COUNTIFS('Самопроверка по школам'!$D$2:$D$351,"Богушевская СШ №1",'Самопроверка по школам'!$E$2:$E$351,"физика",'Самопроверка по школам'!$J$2:$J$351,"п.л.")</f>
        <v>0</v>
      </c>
      <c r="O5" s="17">
        <f>COUNTIFS('Самопроверка по школам'!$J$2:$J$351,"п.л.",'Самопроверка по школам'!$E$2:$E$351,"астрономия",'Самопроверка по школам'!$D$2:$D$351,"Богушевская СШ №1")</f>
        <v>0</v>
      </c>
      <c r="P5" s="17">
        <f>COUNTIFS('Самопроверка по школам'!$J$2:$J$351,"п.л.",'Самопроверка по школам'!$E$2:$E$351,"химия",'Самопроверка по школам'!$D$2:$D$351,"Богушевская СШ №1")</f>
        <v>0</v>
      </c>
      <c r="Q5" s="17">
        <f>COUNTIFS('Самопроверка по школам'!$J$2:$J$351,"п.л.",'Самопроверка по школам'!$E$2:$E$351,"Трудовое обучение",'Самопроверка по школам'!$D$2:$D$351,"Богушевская СШ №1")</f>
        <v>0</v>
      </c>
      <c r="R5" s="17">
        <f>COUNTIFS('Самопроверка по школам'!$J$2:$J$351,"п.л.",'Самопроверка по школам'!$E$2:$E$351,"Трудовое обучение",'Самопроверка по школам'!$D$2:$D$351,"Богушевская СШ №1")</f>
        <v>0</v>
      </c>
      <c r="S5" s="48">
        <f t="shared" si="0"/>
        <v>0</v>
      </c>
      <c r="T5" s="48"/>
      <c r="V5" s="48"/>
    </row>
    <row r="6" spans="1:22" ht="18.75" x14ac:dyDescent="0.25">
      <c r="A6" s="6">
        <v>4</v>
      </c>
      <c r="B6" s="9" t="s">
        <v>111</v>
      </c>
      <c r="C6" s="6">
        <f>COUNTIFS('Самопроверка по школам'!J2:J351,"п.л.",'Самопроверка по школам'!D2:D351,"Богушевская СШ")</f>
        <v>6</v>
      </c>
      <c r="D6" s="17">
        <f>COUNTIFS('Самопроверка по школам'!$D$2:$D$351,"Богушевская СШ",'Самопроверка по школам'!$E$2:$E$351,"бел.яз и лит.",'Самопроверка по школам'!$J$2:$J$351,"п.л.")</f>
        <v>1</v>
      </c>
      <c r="E6" s="17">
        <f>COUNTIFS('Самопроверка по школам'!$D$2:$D$351,"Богушевская СШ",'Самопроверка по школам'!$E$2:$E$351,"Русский язык и литература",'Самопроверка по школам'!$J$2:$J$351,"п.л.")</f>
        <v>3</v>
      </c>
      <c r="F6" s="17">
        <f>COUNTIFS('Самопроверка по школам'!$J$2:$J$351,"п.л.",'Самопроверка по школам'!$E$2:$E$351,"Английский язык",'Самопроверка по школам'!$D$2:$D$351,"Богушевская СШ")</f>
        <v>0</v>
      </c>
      <c r="G6" s="17">
        <f>COUNTIFS('Самопроверка по школам'!$J$2:$J$351,"п.л.",'Самопроверка по школам'!$E$2:$E$351,"нем.яз.",'Самопроверка по школам'!$D$2:$D$351,"Богушевская СШ")</f>
        <v>0</v>
      </c>
      <c r="H6" s="17">
        <f>COUNTIFS('Самопроверка по школам'!$D$2:$D$351,"Богушевская СШ",'Самопроверка по школам'!$E$2:$E$351,"математика",'Самопроверка по школам'!$J$2:$J$351,"п.л.")</f>
        <v>0</v>
      </c>
      <c r="I6" s="17">
        <f>COUNTIFS('Самопроверка по школам'!$D$2:$D$351,"Богушевская СШ",'Самопроверка по школам'!$E$2:$E$351,"информатика",'Самопроверка по школам'!$J$2:$J$351,"п.л.")</f>
        <v>0</v>
      </c>
      <c r="J6" s="17">
        <f>COUNTIFS('Самопроверка по школам'!$D$2:$D$351,"Богушевская СШ",'Самопроверка по школам'!$E$2:$E$351,"история",'Самопроверка по школам'!$J$2:$J$351,"п.л.")</f>
        <v>0</v>
      </c>
      <c r="K6" s="17">
        <f>COUNTIFS('Самопроверка по школам'!$D$2:$D$351,"Богушевская СШ",'Самопроверка по школам'!$E$2:$E$351,"обществоведение",'Самопроверка по школам'!$J$2:$J$351,"п.л.")</f>
        <v>0</v>
      </c>
      <c r="L6" s="17">
        <f>COUNTIFS('Самопроверка по школам'!$D$2:$D$351,"Богушевская СШ",'Самопроверка по школам'!$E$2:$E$351,"география",'Самопроверка по школам'!$J$2:$J$351,"п.л.")</f>
        <v>0</v>
      </c>
      <c r="M6" s="17">
        <f>COUNTIFS('Самопроверка по школам'!$J$2:$J$351,"п.л.",'Самопроверка по школам'!$E$2:$E$351,"Биология",'Самопроверка по школам'!$D$2:$D$351,"Богушевская СШ")</f>
        <v>1</v>
      </c>
      <c r="N6" s="17">
        <f>COUNTIFS('Самопроверка по школам'!$D$2:$D$351,"Богушевская СШ",'Самопроверка по школам'!$E$2:$E$351,"физика",'Самопроверка по школам'!$J$2:$J$351,"п.л.")</f>
        <v>0</v>
      </c>
      <c r="O6" s="17">
        <f>COUNTIFS('Самопроверка по школам'!$J$2:$J$351,"п.л.",'Самопроверка по школам'!$E$2:$E$351,"астрономия",'Самопроверка по школам'!$D$2:$D$351,"Богушевская СШ")</f>
        <v>0</v>
      </c>
      <c r="P6" s="17">
        <f>COUNTIFS('Самопроверка по школам'!$J$2:$J$351,"п.л.",'Самопроверка по школам'!$E$2:$E$351,"химия",'Самопроверка по школам'!$D$2:$D$351,"Богушевская СШ")</f>
        <v>0</v>
      </c>
      <c r="Q6" s="17">
        <f>COUNTIFS('Самопроверка по школам'!$J$2:$J$351,"п.л.",'Самопроверка по школам'!$E$2:$E$351,"Труд обслуживающий",'Самопроверка по школам'!$D$2:$D$351,"Богушевская СШ")</f>
        <v>1</v>
      </c>
      <c r="R6" s="17">
        <f>COUNTIFS('Самопроверка по школам'!$J$2:$J$351,"п.л.",'Самопроверка по школам'!$E$2:$E$351,"Труд  технический",'Самопроверка по школам'!$D$2:$D$351,"Богушевская СШ")</f>
        <v>0</v>
      </c>
      <c r="S6" s="48">
        <f t="shared" si="0"/>
        <v>6</v>
      </c>
      <c r="T6" s="48"/>
      <c r="V6" s="48"/>
    </row>
    <row r="7" spans="1:22" ht="18.75" x14ac:dyDescent="0.25">
      <c r="A7" s="6">
        <v>5</v>
      </c>
      <c r="B7" s="10" t="s">
        <v>15</v>
      </c>
      <c r="C7" s="6">
        <f>COUNTIFS('Самопроверка по школам'!$J$2:$J$351,"п.л.",'Самопроверка по школам'!$D$2:$D$351,"Белицкая ДССШ")</f>
        <v>0</v>
      </c>
      <c r="D7" s="17">
        <f>COUNTIFS('Самопроверка по школам'!$D$2:$D$351,"Белицкая ДССШ",'Самопроверка по школам'!$E$2:$E$351,"бел.яз и лит.",'Самопроверка по школам'!$J$2:$J$351,"п.л.")</f>
        <v>0</v>
      </c>
      <c r="E7" s="17">
        <f>COUNTIFS('Самопроверка по школам'!$D$2:$D$351,"Белицкая ДССШ",'Самопроверка по школам'!$E$2:$E$351,"Русский язык и литература",'Самопроверка по школам'!$J$2:$J$351,"п.л.")</f>
        <v>0</v>
      </c>
      <c r="F7" s="17">
        <f>COUNTIFS('Самопроверка по школам'!$J$2:$J$351,"п.л.",'Самопроверка по школам'!$E$2:$E$351,"Английский язык",'Самопроверка по школам'!$D$2:$D$351,"Белицкая ДССШ")</f>
        <v>0</v>
      </c>
      <c r="G7" s="17">
        <f>COUNTIFS('Самопроверка по школам'!$J$2:$J$351,"п.л.",'Самопроверка по школам'!$E$2:$E$351,"нем.яз.",'Самопроверка по школам'!$D$2:$D$351,"Белицкая ДССШ")</f>
        <v>0</v>
      </c>
      <c r="H7" s="17">
        <f>COUNTIFS('Самопроверка по школам'!$D$2:$D$351,"Белицкая ДССШ",'Самопроверка по школам'!$E$2:$E$351,"математика",'Самопроверка по школам'!$J$2:$J$351,"п.л.")</f>
        <v>0</v>
      </c>
      <c r="I7" s="17">
        <f>COUNTIFS('Самопроверка по школам'!$D$2:$D$351,"Белицкая ДССШ",'Самопроверка по школам'!$E$2:$E$351,"информатика",'Самопроверка по школам'!$J$2:$J$351,"п.л.")</f>
        <v>0</v>
      </c>
      <c r="J7" s="17">
        <f>COUNTIFS('Самопроверка по школам'!$D$2:$D$351,"Белицкая ДССШ",'Самопроверка по школам'!$E$2:$E$351,"история",'Самопроверка по школам'!$J$2:$J$351,"п.л.")</f>
        <v>0</v>
      </c>
      <c r="K7" s="17">
        <f>COUNTIFS('Самопроверка по школам'!$D$2:$D$351,"Белицкая ДССШ",'Самопроверка по школам'!$E$2:$E$351,"обществоведение",'Самопроверка по школам'!$J$2:$J$351,"п.л.")</f>
        <v>0</v>
      </c>
      <c r="L7" s="17">
        <f>COUNTIFS('Самопроверка по школам'!$D$2:$D$351,"Белицкая ДССШ",'Самопроверка по школам'!$E$2:$E$351,"география",'Самопроверка по школам'!$J$2:$J$351,"п.л.")</f>
        <v>0</v>
      </c>
      <c r="M7" s="17">
        <f>COUNTIFS('Самопроверка по школам'!$J$2:$J$351,"п.л.",'Самопроверка по школам'!$E$2:$E$351,"Биология",'Самопроверка по школам'!$D$2:$D$351,"Белицкая ДССШ")</f>
        <v>0</v>
      </c>
      <c r="N7" s="17">
        <f>COUNTIFS('Самопроверка по школам'!$D$2:$D$351,"Белицкая ДССШ",'Самопроверка по школам'!$E$2:$E$351,"физика",'Самопроверка по школам'!$J$2:$J$351,"п.л.")</f>
        <v>0</v>
      </c>
      <c r="O7" s="17">
        <f>COUNTIFS('Самопроверка по школам'!$J$2:$J$351,"п.л.",'Самопроверка по школам'!$E$2:$E$351,"астрономия",'Самопроверка по школам'!$D$2:$D$351,"Белицкая ДССШ")</f>
        <v>0</v>
      </c>
      <c r="P7" s="17">
        <f>COUNTIFS('Самопроверка по школам'!$J$2:$J$351,"п.л.",'Самопроверка по школам'!$E$2:$E$351,"химия",'Самопроверка по школам'!$D$2:$D$351,"Белицкая ДССШ")</f>
        <v>0</v>
      </c>
      <c r="Q7" s="17">
        <f>COUNTIFS('Самопроверка по школам'!$J$2:$J$351,"п.л.",'Самопроверка по школам'!$E$2:$E$351,"Труд обслуживающий",'Самопроверка по школам'!$D$2:$D$351,"Белицкая ДССШ")</f>
        <v>0</v>
      </c>
      <c r="R7" s="17">
        <f>COUNTIFS('Самопроверка по школам'!$J$2:$J$351,"п.л.",'Самопроверка по школам'!$E$2:$E$351,"Труд  технический",'Самопроверка по школам'!$D$2:$D$351,"Белицкая ДССШ")</f>
        <v>0</v>
      </c>
      <c r="S7" s="48">
        <f t="shared" si="0"/>
        <v>0</v>
      </c>
      <c r="T7" s="48"/>
      <c r="V7" s="48"/>
    </row>
    <row r="8" spans="1:22" ht="18.75" x14ac:dyDescent="0.25">
      <c r="A8" s="6">
        <v>6</v>
      </c>
      <c r="B8" s="9" t="s">
        <v>108</v>
      </c>
      <c r="C8" s="6">
        <f>COUNTIFS('Самопроверка по школам'!$J$2:$J$351,"п.л.",'Самопроверка по школам'!$D$2:$D$351,"Богдановская НШ")</f>
        <v>0</v>
      </c>
      <c r="D8" s="17">
        <f>COUNTIFS('Самопроверка по школам'!$D$2:$D$351,"Богдановская НШ",'Самопроверка по школам'!$E$2:$E$351,"бел.яз и лит.",'Самопроверка по школам'!$J$2:$J$351,"п.л.")</f>
        <v>0</v>
      </c>
      <c r="E8" s="17">
        <f>COUNTIFS('Самопроверка по школам'!$D$2:$D$351,"Богдановская НШ",'Самопроверка по школам'!$E$2:$E$351,"Русский язык и литература",'Самопроверка по школам'!$J$2:$J$351,"п.л.")</f>
        <v>0</v>
      </c>
      <c r="F8" s="17">
        <f>COUNTIFS('Самопроверка по школам'!$J$2:$J$351,"п.л.",'Самопроверка по школам'!$E$2:$E$351,"Английский язык",'Самопроверка по школам'!$D$2:$D$351,"Богдановская НШ")</f>
        <v>0</v>
      </c>
      <c r="G8" s="17">
        <f>COUNTIFS('Самопроверка по школам'!$J$2:$J$351,"п.л.",'Самопроверка по школам'!$E$2:$E$351,"нем.яз",'Самопроверка по школам'!$D$2:$D$351,"Богдановская НШ")</f>
        <v>0</v>
      </c>
      <c r="H8" s="17">
        <f>COUNTIFS('Самопроверка по школам'!$D$2:$D$351,"Богдановская НШ",'Самопроверка по школам'!$E$2:$E$351,"математика",'Самопроверка по школам'!$J$2:$J$351,"п.л.")</f>
        <v>0</v>
      </c>
      <c r="I8" s="17">
        <f>COUNTIFS('Самопроверка по школам'!$D$2:$D$351,"Богдановская НШ",'Самопроверка по школам'!$E$2:$E$351,"информатика",'Самопроверка по школам'!$J$2:$J$351,"п.л.")</f>
        <v>0</v>
      </c>
      <c r="J8" s="17">
        <f>COUNTIFS('Самопроверка по школам'!$D$2:$D$351,"Богдановская НШ",'Самопроверка по школам'!$E$2:$E$351,"история",'Самопроверка по школам'!$J$2:$J$351,"п.л.")</f>
        <v>0</v>
      </c>
      <c r="K8" s="17">
        <f>COUNTIFS('Самопроверка по школам'!$D$2:$D$351,"Богдановская НШ",'Самопроверка по школам'!$E$2:$E$351,"обществоведение",'Самопроверка по школам'!$J$2:$J$351,"п.л.")</f>
        <v>0</v>
      </c>
      <c r="L8" s="17">
        <f>COUNTIFS('Самопроверка по школам'!$D$2:$D$351,"Богдановская НШ",'Самопроверка по школам'!$E$2:$E$351,"география",'Самопроверка по школам'!$J$2:$J$351,"п.л.")</f>
        <v>0</v>
      </c>
      <c r="M8" s="17">
        <f>COUNTIFS('Самопроверка по школам'!$J$2:$J$351,"п.л.",'Самопроверка по школам'!$E$2:$E$351,"Биология",'Самопроверка по школам'!$D$2:$D$351,"Богдановская НШ")</f>
        <v>0</v>
      </c>
      <c r="N8" s="17">
        <f>COUNTIFS('Самопроверка по школам'!$D$2:$D$351,"Богдановская НШ",'Самопроверка по школам'!$E$2:$E$351,"физика",'Самопроверка по школам'!$J$2:$J$351,"п.л.")</f>
        <v>0</v>
      </c>
      <c r="O8" s="17">
        <f>COUNTIFS('Самопроверка по школам'!$J$2:$J$351,"п.л.",'Самопроверка по школам'!$E$2:$E$351,"астрономия",'Самопроверка по школам'!$D$2:$D$351,"Богдановская НШ")</f>
        <v>0</v>
      </c>
      <c r="P8" s="17">
        <f>COUNTIFS('Самопроверка по школам'!$J$2:$J$351,"п.л.",'Самопроверка по школам'!$E$2:$E$351,"химия",'Самопроверка по школам'!$D$2:$D$351,"Богдановская НШ")</f>
        <v>0</v>
      </c>
      <c r="Q8" s="17">
        <f>COUNTIFS('Самопроверка по школам'!$J$2:$J$351,"п.л.",'Самопроверка по школам'!$E$2:$E$351,"Труд обслуживающий",'Самопроверка по школам'!$D$2:$D$351,"Богдановская НШ")</f>
        <v>0</v>
      </c>
      <c r="R8" s="17">
        <f>COUNTIFS('Самопроверка по школам'!$J$2:$J$351,"п.л.",'Самопроверка по школам'!$E$2:$E$351,"Труд  технический",'Самопроверка по школам'!$D$2:$D$351,"Богдановская НШ")</f>
        <v>0</v>
      </c>
      <c r="S8" s="48">
        <f t="shared" si="0"/>
        <v>0</v>
      </c>
      <c r="T8" s="48"/>
      <c r="V8" s="48"/>
    </row>
    <row r="9" spans="1:22" ht="18.75" x14ac:dyDescent="0.25">
      <c r="A9" s="6">
        <v>7</v>
      </c>
      <c r="B9" s="9" t="s">
        <v>16</v>
      </c>
      <c r="C9" s="6">
        <f>COUNTIFS('Самопроверка по школам'!$J$2:$J$351,"п.л.",'Самопроверка по школам'!$D$2:$D$351,"Коковчинская ДССШ")</f>
        <v>1</v>
      </c>
      <c r="D9" s="17">
        <f>COUNTIFS('Самопроверка по школам'!$D$2:$D$351,"Коковчинская ДССШ",'Самопроверка по школам'!$E$2:$E$351,"бел.яз и лит.",'Самопроверка по школам'!$J$2:$J$351,"п.л.")</f>
        <v>1</v>
      </c>
      <c r="E9" s="17">
        <f>COUNTIFS('Самопроверка по школам'!$D$2:$D$351,"Коковчинская ДССШ",'Самопроверка по школам'!$E$2:$E$351,"Русский язык и литература",'Самопроверка по школам'!$J$2:$J$351,"п.л.")</f>
        <v>0</v>
      </c>
      <c r="F9" s="17">
        <f>COUNTIFS('Самопроверка по школам'!$J$2:$J$351,"п.л.",'Самопроверка по школам'!$E$2:$E$351,"Английский язык",'Самопроверка по школам'!$D$2:$D$351,"Коковчинская ДССШ")</f>
        <v>0</v>
      </c>
      <c r="G9" s="17">
        <f>COUNTIFS('Самопроверка по школам'!$J$2:$J$351,"п.л.",'Самопроверка по школам'!$E$2:$E$351,"нем.яз.",'Самопроверка по школам'!$D$2:$D$351,"Коковчинская ДССШ")</f>
        <v>0</v>
      </c>
      <c r="H9" s="17">
        <f>COUNTIFS('Самопроверка по школам'!$D$2:$D$351,"Коковчинская ДССШ",'Самопроверка по школам'!$E$2:$E$351,"математика",'Самопроверка по школам'!$J$2:$J$351,"п.л.")</f>
        <v>0</v>
      </c>
      <c r="I9" s="17">
        <f>COUNTIFS('Самопроверка по школам'!$D$2:$D$351,"Коковчинская ДССШ",'Самопроверка по школам'!$E$2:$E$351,"информатика",'Самопроверка по школам'!$J$2:$J$351,"п.л.")</f>
        <v>0</v>
      </c>
      <c r="J9" s="17">
        <f>COUNTIFS('Самопроверка по школам'!$D$2:$D$351,"Коковчинская ДССШ",'Самопроверка по школам'!$E$2:$E$351,"история",'Самопроверка по школам'!$J$2:$J$351,"п.л.")</f>
        <v>0</v>
      </c>
      <c r="K9" s="17">
        <f>COUNTIFS('Самопроверка по школам'!$D$2:$D$351,"Коковчинская ДССШ",'Самопроверка по школам'!$E$2:$E$351,"обществоведение",'Самопроверка по школам'!$J$2:$J$351,"п.л.")</f>
        <v>0</v>
      </c>
      <c r="L9" s="17">
        <f>COUNTIFS('Самопроверка по школам'!$D$2:$D$351,"Коковчинская ДССШ",'Самопроверка по школам'!$E$2:$E$351,"география",'Самопроверка по школам'!$J$2:$J$351,"п.л.")</f>
        <v>0</v>
      </c>
      <c r="M9" s="17">
        <f>COUNTIFS('Самопроверка по школам'!$J$2:$J$351,"п.л.",'Самопроверка по школам'!$E$2:$E$351,"Биология",'Самопроверка по школам'!$D$2:$D$351,"Коковчинская ДССШ")</f>
        <v>0</v>
      </c>
      <c r="N9" s="17">
        <f>COUNTIFS('Самопроверка по школам'!$D$2:$D$351,"Коковчинская ДССШ",'Самопроверка по школам'!$E$2:$E$351,"физика",'Самопроверка по школам'!$J$2:$J$351,"п.л.")</f>
        <v>0</v>
      </c>
      <c r="O9" s="17">
        <f>COUNTIFS('Самопроверка по школам'!$J$2:$J$351,"п.л.",'Самопроверка по школам'!$E$2:$E$351,"астрономия",'Самопроверка по школам'!$D$2:$D$351,"Коковчинская ДССШ")</f>
        <v>0</v>
      </c>
      <c r="P9" s="17">
        <f>COUNTIFS('Самопроверка по школам'!$J$2:$J$351,"п.л.",'Самопроверка по школам'!$E$2:$E$351,"химия",'Самопроверка по школам'!$D$2:$D$351,"Коковчинская ДССШ")</f>
        <v>0</v>
      </c>
      <c r="Q9" s="17">
        <f>COUNTIFS('Самопроверка по школам'!$J$2:$J$351,"п.л.",'Самопроверка по школам'!$E$2:$E$351,"Труд обслуживающий",'Самопроверка по школам'!$D$2:$D$351,"Коковчинская ДССШ")</f>
        <v>0</v>
      </c>
      <c r="R9" s="17">
        <f>COUNTIFS('Самопроверка по школам'!$J$2:$J$351,"п.л.",'Самопроверка по школам'!$E$2:$E$351,"Труд  технический",'Самопроверка по школам'!$D$2:$D$351,"Коковчинская ДССШ")</f>
        <v>0</v>
      </c>
      <c r="S9" s="48">
        <f t="shared" si="0"/>
        <v>1</v>
      </c>
      <c r="T9" s="48"/>
      <c r="V9" s="48"/>
    </row>
    <row r="10" spans="1:22" ht="18.75" x14ac:dyDescent="0.25">
      <c r="A10" s="6">
        <v>8</v>
      </c>
      <c r="B10" s="9" t="s">
        <v>14</v>
      </c>
      <c r="C10" s="6">
        <f>COUNTIFS('Самопроверка по школам'!$J$2:$J$351,"п.л.",'Самопроверка по школам'!$D$2:$D$351,"Мошканская ДССШ")</f>
        <v>13</v>
      </c>
      <c r="D10" s="17">
        <f>COUNTIFS('Самопроверка по школам'!$D$2:$D$351,"Мошканская ДССШ",'Самопроверка по школам'!$E$2:$E$351,"бел.яз и лит.",'Самопроверка по школам'!$J$2:$J$351,"п.л.")</f>
        <v>3</v>
      </c>
      <c r="E10" s="17">
        <f>COUNTIFS('Самопроверка по школам'!$D$2:$D$351,"Мошканская ДССШ",'Самопроверка по школам'!$E$2:$E$351,"Русский язык и литература",'Самопроверка по школам'!$J$2:$J$351,"п.л.")</f>
        <v>2</v>
      </c>
      <c r="F10" s="17">
        <f>COUNTIFS('Самопроверка по школам'!$J$2:$J$351,"п.л.",'Самопроверка по школам'!$E$2:$E$351,"Английский язык",'Самопроверка по школам'!$D$2:$D$351,"Мошканская ДССШ")</f>
        <v>0</v>
      </c>
      <c r="G10" s="17">
        <f>COUNTIFS('Самопроверка по школам'!$J$2:$J$351,"п.л.",'Самопроверка по школам'!$E$2:$E$351,"нем.яз.",'Самопроверка по школам'!$D$2:$D$351,"Мошканская ДССШ")</f>
        <v>0</v>
      </c>
      <c r="H10" s="17">
        <f>COUNTIFS('Самопроверка по школам'!$D$2:$D$351,"Мошканская ДССШ",'Самопроверка по школам'!$E$2:$E$351,"математика",'Самопроверка по школам'!$J$2:$J$351,"п.л.")</f>
        <v>2</v>
      </c>
      <c r="I10" s="17">
        <f>COUNTIFS('Самопроверка по школам'!$D$2:$D$351,"Мошканская ДССШ",'Самопроверка по школам'!$E$2:$E$351,"информатика",'Самопроверка по школам'!$J$2:$J$351,"п.л.")</f>
        <v>0</v>
      </c>
      <c r="J10" s="17">
        <f>COUNTIFS('Самопроверка по школам'!$D$2:$D$351,"Мошканская ДССШ",'Самопроверка по школам'!$E$2:$E$351,"история",'Самопроверка по школам'!$J$2:$J$351,"п.л.")</f>
        <v>2</v>
      </c>
      <c r="K10" s="17">
        <f>COUNTIFS('Самопроверка по школам'!$D$2:$D$351,"Мошканская ДССШ",'Самопроверка по школам'!$E$2:$E$351,"обществоведение",'Самопроверка по школам'!$J$2:$J$351,"п.л.")</f>
        <v>0</v>
      </c>
      <c r="L10" s="17">
        <f>COUNTIFS('Самопроверка по школам'!$D$2:$D$351,"Мошканская ДССШ",'Самопроверка по школам'!$E$2:$E$351,"география",'Самопроверка по школам'!$J$2:$J$351,"п.л.")</f>
        <v>0</v>
      </c>
      <c r="M10" s="17">
        <f>COUNTIFS('Самопроверка по школам'!$J$2:$J$351,"п.л.",'Самопроверка по школам'!$E$2:$E$351,"Биология",'Самопроверка по школам'!$D$2:$D$351,"Мошканская ДССШ")</f>
        <v>1</v>
      </c>
      <c r="N10" s="17">
        <f>COUNTIFS('Самопроверка по школам'!$D$2:$D$351,"Мошканская ДССШ",'Самопроверка по школам'!$E$2:$E$351,"физика",'Самопроверка по школам'!$J$2:$J$351,"п.л.")</f>
        <v>0</v>
      </c>
      <c r="O10" s="17">
        <f>COUNTIFS('Самопроверка по школам'!$J$2:$J$351,"п.л.",'Самопроверка по школам'!$E$2:$E$351,"астрономия",'Самопроверка по школам'!$D$2:$D$351,"Мошканская ДССШ")</f>
        <v>0</v>
      </c>
      <c r="P10" s="17">
        <f>COUNTIFS('Самопроверка по школам'!$J$2:$J$351,"п.л.",'Самопроверка по школам'!$E$2:$E$351,"химия",'Самопроверка по школам'!$D$2:$D$351,"Мошканская ДССШ")</f>
        <v>0</v>
      </c>
      <c r="Q10" s="17">
        <f>COUNTIFS('Самопроверка по школам'!$J$2:$J$351,"п.л.",'Самопроверка по школам'!$E$2:$E$351,"Труд обслуживающий",'Самопроверка по школам'!$D$2:$D$351,"Мошканская ДССШ")</f>
        <v>1</v>
      </c>
      <c r="R10" s="17">
        <f>COUNTIFS('Самопроверка по школам'!$J$2:$J$351,"п.л.",'Самопроверка по школам'!$E$2:$E$351,"Труд  технический",'Самопроверка по школам'!$D$2:$D$351,"Мошканская ДССШ")</f>
        <v>2</v>
      </c>
      <c r="S10" s="48">
        <f t="shared" si="0"/>
        <v>13</v>
      </c>
      <c r="T10" s="48"/>
      <c r="V10" s="48"/>
    </row>
    <row r="11" spans="1:22" ht="18.75" hidden="1" customHeight="1" x14ac:dyDescent="0.25">
      <c r="A11" s="6">
        <v>9</v>
      </c>
      <c r="B11" s="9" t="s">
        <v>38</v>
      </c>
      <c r="C11" s="6">
        <f>COUNTIFS('Самопроверка по школам'!$J$2:$J$351,"п.л.",'Самопроверка по школам'!$D$2:$D$351,"Мощёнская ДССШ")</f>
        <v>0</v>
      </c>
      <c r="D11" s="17">
        <f>COUNTIFS('Самопроверка по школам'!$D$2:$D$351,"Мощёнская ДССШ",'Самопроверка по школам'!$E$2:$E$351,"бел.яз и лит.",'Самопроверка по школам'!$J$2:$J$351,"п.л.")</f>
        <v>0</v>
      </c>
      <c r="E11" s="17">
        <f>COUNTIFS('Самопроверка по школам'!$D$2:$D$351,"Мощёнская ДССШ",'Самопроверка по школам'!$E$2:$E$351,"Русский язык и литература",'Самопроверка по школам'!$J$2:$J$351,"п.л.")</f>
        <v>0</v>
      </c>
      <c r="F11" s="17">
        <f>COUNTIFS('Самопроверка по школам'!$J$2:$J$351,"п.л.",'Самопроверка по школам'!$E$2:$E$351,"Английский язык",'Самопроверка по школам'!$D$2:$D$351,"Мощёнская ДССШ")</f>
        <v>0</v>
      </c>
      <c r="G11" s="17">
        <f>COUNTIFS('Самопроверка по школам'!$J$2:$J$351,"п.л.",'Самопроверка по школам'!$E$2:$E$351,"нем.яз",'Самопроверка по школам'!$D$2:$D$351,"Мощёнская ДССШ")</f>
        <v>0</v>
      </c>
      <c r="H11" s="17">
        <f>COUNTIFS('Самопроверка по школам'!$D$2:$D$351,"Мощёнская ДССШ",'Самопроверка по школам'!$E$2:$E$351,"математика",'Самопроверка по школам'!$J$2:$J$351,"п.л.")</f>
        <v>0</v>
      </c>
      <c r="I11" s="17">
        <f>COUNTIFS('Самопроверка по школам'!$D$2:$D$351,"Мощёнская ДССШ",'Самопроверка по школам'!$E$2:$E$351,"информатика",'Самопроверка по школам'!$J$2:$J$351,"п.л.")</f>
        <v>0</v>
      </c>
      <c r="J11" s="17">
        <f>COUNTIFS('Самопроверка по школам'!$D$2:$D$351,"Мощёнская ДССШ",'Самопроверка по школам'!$E$2:$E$351,"история",'Самопроверка по школам'!$J$2:$J$351,"п.л.")</f>
        <v>0</v>
      </c>
      <c r="K11" s="17">
        <f>COUNTIFS('Самопроверка по школам'!$D$2:$D$351,"Мощёнская ДССШ",'Самопроверка по школам'!$E$2:$E$351,"обществоведение",'Самопроверка по школам'!$J$2:$J$351,"п.л.")</f>
        <v>0</v>
      </c>
      <c r="L11" s="17">
        <f>COUNTIFS('Самопроверка по школам'!$D$2:$D$351,"Мощёнская ДССШ",'Самопроверка по школам'!$E$2:$E$351,"география",'Самопроверка по школам'!$J$2:$J$351,"п.л.")</f>
        <v>0</v>
      </c>
      <c r="M11" s="17">
        <f>COUNTIFS('Самопроверка по школам'!$J$2:$J$351,"п.л.",'Самопроверка по школам'!$E$2:$E$351,"Биология",'Самопроверка по школам'!$D$2:$D$351,"Мощёнская ДССШ")</f>
        <v>0</v>
      </c>
      <c r="N11" s="17">
        <f>COUNTIFS('Самопроверка по школам'!$D$2:$D$351,"Мощёнская ДССШ",'Самопроверка по школам'!$E$2:$E$351,"физика",'Самопроверка по школам'!$J$2:$J$351,"п.л.")</f>
        <v>0</v>
      </c>
      <c r="O11" s="17">
        <f>COUNTIFS('Самопроверка по школам'!$J$2:$J$351,"п.л.",'Самопроверка по школам'!$E$2:$E$351,"астрономия",'Самопроверка по школам'!$D$2:$D$351,"Мощёнская ДССШ")</f>
        <v>0</v>
      </c>
      <c r="P11" s="17">
        <f>COUNTIFS('Самопроверка по школам'!$J$2:$J$351,"п.л.",'Самопроверка по школам'!$E$2:$E$351,"химия",'Самопроверка по школам'!$D$2:$D$351,"Мощёнская ДССШ")</f>
        <v>0</v>
      </c>
      <c r="Q11" s="17">
        <f>COUNTIFS('Самопроверка по школам'!$J$2:$J$351,"п.л.",'Самопроверка по школам'!$E$2:$E$351,"Трудовое обучение",'Самопроверка по школам'!$D$2:$D$351,"Мощёнская ДССШ")</f>
        <v>0</v>
      </c>
      <c r="R11" s="17">
        <f>COUNTIFS('Самопроверка по школам'!$J$2:$J$351,"п.л.",'Самопроверка по школам'!$E$2:$E$351,"Трудовое обучение",'Самопроверка по школам'!$D$2:$D$351,"Мощёнская ДССШ")</f>
        <v>0</v>
      </c>
      <c r="S11" s="48">
        <f t="shared" si="0"/>
        <v>0</v>
      </c>
      <c r="T11" s="48"/>
      <c r="V11" s="48"/>
    </row>
    <row r="12" spans="1:22" ht="18.75" x14ac:dyDescent="0.25">
      <c r="A12" s="6">
        <v>10</v>
      </c>
      <c r="B12" s="9" t="s">
        <v>12</v>
      </c>
      <c r="C12" s="6">
        <f>COUNTIFS('Самопроверка по школам'!$J$2:$J$351,"п.л.",'Самопроверка по школам'!$D$2:$D$351,"Студёнковская ДССШ")</f>
        <v>3</v>
      </c>
      <c r="D12" s="17">
        <f>COUNTIFS('Самопроверка по школам'!$D$2:$D$351,"Студёнковская ДССШ",'Самопроверка по школам'!$E$2:$E$351,"бел.яз и лит.",'Самопроверка по школам'!$J$2:$J$351,"п.л.")</f>
        <v>1</v>
      </c>
      <c r="E12" s="17">
        <f>COUNTIFS('Самопроверка по школам'!$D$2:$D$351,"Студёнковская ДССШ",'Самопроверка по школам'!$E$2:$E$351,"Русский язык и литература",'Самопроверка по школам'!$J$2:$J$351,"п.л.")</f>
        <v>0</v>
      </c>
      <c r="F12" s="17">
        <f>COUNTIFS('Самопроверка по школам'!$J$2:$J$351,"п.л.",'Самопроверка по школам'!$E$2:$E$351,"Английский язык",'Самопроверка по школам'!$D$2:$D$351,"Студёнковская ДССШ")</f>
        <v>0</v>
      </c>
      <c r="G12" s="17">
        <f>COUNTIFS('Самопроверка по школам'!$J$2:$J$351,"п.л.",'Самопроверка по школам'!$E$2:$E$351,"нем.яз.",'Самопроверка по школам'!$D$2:$D$351,"Студёнковская ДССШ")</f>
        <v>0</v>
      </c>
      <c r="H12" s="17">
        <f>COUNTIFS('Самопроверка по школам'!$D$2:$D$351,"Студёнковская ДССШ",'Самопроверка по школам'!$E$2:$E$351,"математика",'Самопроверка по школам'!$J$2:$J$351,"п.л.")</f>
        <v>0</v>
      </c>
      <c r="I12" s="17">
        <f>COUNTIFS('Самопроверка по школам'!$D$2:$D$351,"Студёнковская ДССШ",'Самопроверка по школам'!$E$2:$E$351,"информатика",'Самопроверка по школам'!$J$2:$J$351,"п.л.")</f>
        <v>0</v>
      </c>
      <c r="J12" s="17">
        <f>COUNTIFS('Самопроверка по школам'!$D$2:$D$351,"Студёнковская ДССШ",'Самопроверка по школам'!$E$2:$E$351,"история",'Самопроверка по школам'!$J$2:$J$351,"п.л.")</f>
        <v>0</v>
      </c>
      <c r="K12" s="17">
        <f>COUNTIFS('Самопроверка по школам'!$D$2:$D$351,"Студёнковская ДССШ",'Самопроверка по школам'!$E$2:$E$351,"обществоведение",'Самопроверка по школам'!$J$2:$J$351,"п.л.")</f>
        <v>0</v>
      </c>
      <c r="L12" s="17">
        <f>COUNTIFS('Самопроверка по школам'!$D$2:$D$351,"Студёнковская ДССШ",'Самопроверка по школам'!$E$2:$E$351,"география",'Самопроверка по школам'!$J$2:$J$351,"п.л.")</f>
        <v>0</v>
      </c>
      <c r="M12" s="17">
        <f>COUNTIFS('Самопроверка по школам'!$J$2:$J$351,"п.л.",'Самопроверка по школам'!$E$2:$E$351,"Биология",'Самопроверка по школам'!$D$2:$D$351,"Студёнковская ДССШ")</f>
        <v>0</v>
      </c>
      <c r="N12" s="17">
        <f>COUNTIFS('Самопроверка по школам'!$D$2:$D$351,"Студёнковская ДССШ",'Самопроверка по школам'!$E$2:$E$351,"физика",'Самопроверка по школам'!$J$2:$J$351,"п.л.")</f>
        <v>0</v>
      </c>
      <c r="O12" s="17">
        <f>COUNTIFS('Самопроверка по школам'!$J$2:$J$351,"п.л.",'Самопроверка по школам'!$E$2:$E$351,"астрономия",'Самопроверка по школам'!$D$2:$D$351,"Студёнковская ДССШ")</f>
        <v>0</v>
      </c>
      <c r="P12" s="17">
        <f>COUNTIFS('Самопроверка по школам'!$J$2:$J$351,"п.л.",'Самопроверка по школам'!$E$2:$E$351,"химия",'Самопроверка по школам'!$D$2:$D$351,"Студёнковская ДССШ")</f>
        <v>0</v>
      </c>
      <c r="Q12" s="17">
        <f>COUNTIFS('Самопроверка по школам'!$J$2:$J$351,"п.л.",'Самопроверка по школам'!$E$2:$E$351,"Труд обслуживающий",'Самопроверка по школам'!$D$2:$D$351,"Студёнковская ДССШ")</f>
        <v>1</v>
      </c>
      <c r="R12" s="17">
        <f>COUNTIFS('Самопроверка по школам'!$J$2:$J$351,"п.л.",'Самопроверка по школам'!$E$2:$E$351,"Труд  технический",'Самопроверка по школам'!$D$2:$D$351,"Студёнковская ДССШ")</f>
        <v>1</v>
      </c>
      <c r="S12" s="48">
        <f t="shared" si="0"/>
        <v>3</v>
      </c>
      <c r="T12" s="48"/>
      <c r="V12" s="48"/>
    </row>
    <row r="13" spans="1:22" ht="18.75" x14ac:dyDescent="0.25">
      <c r="A13" s="6">
        <v>11</v>
      </c>
      <c r="B13" s="12" t="s">
        <v>79</v>
      </c>
      <c r="C13" s="6">
        <f>COUNTIFS('Самопроверка по школам'!$J$2:$J$351,"п.л.",'Самопроверка по школам'!$D$2:$D$351,"Ходцевская ДССШ")</f>
        <v>1</v>
      </c>
      <c r="D13" s="17">
        <f>COUNTIFS('Самопроверка по школам'!$D$2:$D$351,"Ходцевская ДССШ",'Самопроверка по школам'!$E$2:$E$351,"бел.яз и лит.",'Самопроверка по школам'!$J$2:$J$351,"п.л.")</f>
        <v>0</v>
      </c>
      <c r="E13" s="17">
        <f>COUNTIFS('Самопроверка по школам'!$D$2:$D$351,"Ходцевская ДССШ",'Самопроверка по школам'!$E$2:$E$351,"Русский язык и литература",'Самопроверка по школам'!$J$2:$J$351,"п.л.")</f>
        <v>1</v>
      </c>
      <c r="F13" s="17">
        <f>COUNTIFS('Самопроверка по школам'!$J$2:$J$351,"п.л.",'Самопроверка по школам'!$E$2:$E$351,"Английский язык",'Самопроверка по школам'!$D$2:$D$351,"Ходцевская ДССШ")</f>
        <v>0</v>
      </c>
      <c r="G13" s="17">
        <f>COUNTIFS('Самопроверка по школам'!$J$2:$J$351,"п.л.",'Самопроверка по школам'!$E$2:$E$351,"нем.яз.",'Самопроверка по школам'!$D$2:$D$351,"Ходцевская ДССШ")</f>
        <v>0</v>
      </c>
      <c r="H13" s="17">
        <f>COUNTIFS('Самопроверка по школам'!$D$2:$D$351,"Ходцевская ДССШ",'Самопроверка по школам'!$E$2:$E$351,"математика",'Самопроверка по школам'!$J$2:$J$351,"п.л.")</f>
        <v>0</v>
      </c>
      <c r="I13" s="17">
        <f>COUNTIFS('Самопроверка по школам'!$D$2:$D$351,"Ходцевская ДССШ",'Самопроверка по школам'!$E$2:$E$351,"информатика",'Самопроверка по школам'!$J$2:$J$351,"п.л.")</f>
        <v>0</v>
      </c>
      <c r="J13" s="17">
        <f>COUNTIFS('Самопроверка по школам'!$D$2:$D$351,"Ходцевская ДССШ",'Самопроверка по школам'!$E$2:$E$351,"история",'Самопроверка по школам'!$J$2:$J$351,"п.л.")</f>
        <v>0</v>
      </c>
      <c r="K13" s="17">
        <f>COUNTIFS('Самопроверка по школам'!$D$2:$D$351,"Ходцевская ДССШ",'Самопроверка по школам'!$E$2:$E$351,"обществоведение",'Самопроверка по школам'!$J$2:$J$351,"п.л.")</f>
        <v>0</v>
      </c>
      <c r="L13" s="17">
        <f>COUNTIFS('Самопроверка по школам'!$D$2:$D$351,"Ходцевская ДССШ",'Самопроверка по школам'!$E$2:$E$351,"география",'Самопроверка по школам'!$J$2:$J$351,"п.л.")</f>
        <v>0</v>
      </c>
      <c r="M13" s="17">
        <f>COUNTIFS('Самопроверка по школам'!$J$2:$J$351,"п.л.",'Самопроверка по школам'!$E$2:$E$351,"Биология",'Самопроверка по школам'!$D$2:$D$351,"Ходцевская ДССШ")</f>
        <v>0</v>
      </c>
      <c r="N13" s="17">
        <f>COUNTIFS('Самопроверка по школам'!$D$2:$D$351,"Ходцевская ДССШ",'Самопроверка по школам'!$E$2:$E$351,"физика",'Самопроверка по школам'!$J$2:$J$351,"п.л.")</f>
        <v>0</v>
      </c>
      <c r="O13" s="17">
        <f>COUNTIFS('Самопроверка по школам'!$J$2:$J$351,"п.л.",'Самопроверка по школам'!$E$2:$E$351,"астрономия",'Самопроверка по школам'!$D$2:$D$351,"Ходцевская ДССШ")</f>
        <v>0</v>
      </c>
      <c r="P13" s="17">
        <f>COUNTIFS('Самопроверка по школам'!$J$2:$J$351,"п.л.",'Самопроверка по школам'!$E$2:$E$351,"химия",'Самопроверка по школам'!$D$2:$D$351,"Ходцевская ДССШ")</f>
        <v>0</v>
      </c>
      <c r="Q13" s="17">
        <f>COUNTIFS('Самопроверка по школам'!$J$2:$J$351,"п.л.",'Самопроверка по школам'!$E$2:$E$351,"Труд обслуживающий",'Самопроверка по школам'!$D$2:$D$351,"Ходцевская ДССШ")</f>
        <v>0</v>
      </c>
      <c r="R13" s="17">
        <f>COUNTIFS('Самопроверка по школам'!$J$2:$J$351,"п.л.",'Самопроверка по школам'!$E$2:$E$351,"Труд  технический",'Самопроверка по школам'!$D$2:$D$351,"Ходцевская ДССШ")</f>
        <v>0</v>
      </c>
      <c r="S13" s="48">
        <f t="shared" si="0"/>
        <v>1</v>
      </c>
      <c r="T13" s="48"/>
      <c r="V13" s="48"/>
    </row>
    <row r="14" spans="1:22" ht="18.75" x14ac:dyDescent="0.25">
      <c r="A14" s="6">
        <v>12</v>
      </c>
      <c r="B14" s="9" t="s">
        <v>72</v>
      </c>
      <c r="C14" s="6">
        <f>COUNTIFS('Самопроверка по школам'!$J$2:$J$351,"п.л.",'Самопроверка по школам'!$D$2:$D$351,"Яновская ДСБШ")</f>
        <v>2</v>
      </c>
      <c r="D14" s="17">
        <f>COUNTIFS('Самопроверка по школам'!$D$2:$D$351,"Яновская ДСБШ",'Самопроверка по школам'!$E$2:$E$351,"бел.яз и лит.",'Самопроверка по школам'!$J$2:$J$351,"п.л.")</f>
        <v>0</v>
      </c>
      <c r="E14" s="17">
        <f>COUNTIFS('Самопроверка по школам'!$D$2:$D$351,"Яновская ДСБШ",'Самопроверка по школам'!$E$2:$E$351,"Русский язык и литература",'Самопроверка по школам'!$J$2:$J$351,"п.л.")</f>
        <v>1</v>
      </c>
      <c r="F14" s="17">
        <f>COUNTIFS('Самопроверка по школам'!$J$2:$J$351,"п.л.",'Самопроверка по школам'!$E$2:$E$351,"Английский язык",'Самопроверка по школам'!$D$2:$D$351,"Яновская ДСБШ")</f>
        <v>1</v>
      </c>
      <c r="G14" s="17">
        <f>COUNTIFS('Самопроверка по школам'!$J$2:$J$351,"п.л.",'Самопроверка по школам'!$E$2:$E$351,"нем.яз.",'Самопроверка по школам'!$D$2:$D$351,"Яновская ДСБШ")</f>
        <v>0</v>
      </c>
      <c r="H14" s="17">
        <f>COUNTIFS('Самопроверка по школам'!$D$2:$D$351,"Яновская ДСБШ",'Самопроверка по школам'!$E$2:$E$351,"математика",'Самопроверка по школам'!$J$2:$J$351,"п.л.")</f>
        <v>0</v>
      </c>
      <c r="I14" s="17">
        <f>COUNTIFS('Самопроверка по школам'!$D$2:$D$351,"Яновская ДСБШ",'Самопроверка по школам'!$E$2:$E$351,"информатика",'Самопроверка по школам'!$J$2:$J$351,"п.л.")</f>
        <v>0</v>
      </c>
      <c r="J14" s="17">
        <f>COUNTIFS('Самопроверка по школам'!$D$2:$D$351,"Яновская ДСБШ",'Самопроверка по школам'!$E$2:$E$351,"история",'Самопроверка по школам'!$J$2:$J$351,"п.л.")</f>
        <v>0</v>
      </c>
      <c r="K14" s="17">
        <f>COUNTIFS('Самопроверка по школам'!$D$2:$D$351,"Яновская ДСБШ",'Самопроверка по школам'!$E$2:$E$351,"обществоведение",'Самопроверка по школам'!$J$2:$J$351,"п.л.")</f>
        <v>0</v>
      </c>
      <c r="L14" s="17">
        <f>COUNTIFS('Самопроверка по школам'!$D$2:$D$351,"Яновская ДСБШ",'Самопроверка по школам'!$E$2:$E$351,"география",'Самопроверка по школам'!$J$2:$J$351,"п.л.")</f>
        <v>0</v>
      </c>
      <c r="M14" s="17">
        <f>COUNTIFS('Самопроверка по школам'!$J$2:$J$351,"п.л.",'Самопроверка по школам'!$E$2:$E$351,"Биология",'Самопроверка по школам'!$D$2:$D$351,"Яновская ДСБШ")</f>
        <v>0</v>
      </c>
      <c r="N14" s="17">
        <f>COUNTIFS('Самопроверка по школам'!$D$2:$D$351,"Яновская ДСБШ",'Самопроверка по школам'!$E$2:$E$351,"физика",'Самопроверка по школам'!$J$2:$J$351,"п.л.")</f>
        <v>0</v>
      </c>
      <c r="O14" s="17">
        <f>COUNTIFS('Самопроверка по школам'!$J$2:$J$351,"п.л.",'Самопроверка по школам'!$E$2:$E$351,"астрономия",'Самопроверка по школам'!$D$2:$D$351,"Яновская ДСБШ")</f>
        <v>0</v>
      </c>
      <c r="P14" s="17">
        <f>COUNTIFS('Самопроверка по школам'!$J$2:$J$351,"п.л.",'Самопроверка по школам'!$E$2:$E$351,"химия",'Самопроверка по школам'!$D$2:$D$351,"Яновская ДСБШ")</f>
        <v>0</v>
      </c>
      <c r="Q14" s="17">
        <f>COUNTIFS('Самопроверка по школам'!$J$2:$J$351,"п.л.",'Самопроверка по школам'!$E$2:$E$351,"Труд обслуживающий",'Самопроверка по школам'!$D$2:$D$351,"Яновская ДСБШ")</f>
        <v>0</v>
      </c>
      <c r="R14" s="17">
        <f>COUNTIFS('Самопроверка по школам'!$J$2:$J$351,"п.л.",'Самопроверка по школам'!$E$2:$E$351,"Труд  технический",'Самопроверка по школам'!$D$2:$D$351,"Яновская ДСБШ")</f>
        <v>0</v>
      </c>
      <c r="S14" s="48">
        <f t="shared" si="0"/>
        <v>2</v>
      </c>
      <c r="T14" s="48"/>
      <c r="V14" s="48"/>
    </row>
    <row r="15" spans="1:22" ht="28.5" hidden="1" customHeight="1" x14ac:dyDescent="0.25">
      <c r="A15" s="6">
        <v>14</v>
      </c>
      <c r="B15" s="39" t="s">
        <v>27</v>
      </c>
      <c r="C15" s="6">
        <f>COUNTIFS('Самопроверка по школам'!$J$2:$J$68,"п.л.",'Самопроверка по школам'!$D$2:$D$68,"Богушевская санаторная школа-интернат")</f>
        <v>0</v>
      </c>
      <c r="D15" s="17">
        <f>COUNTIFS('Самопроверка по школам'!$D$2:$D$68,"Богушевская санаторная школа-интернат",'Самопроверка по школам'!$E$2:$E$68,"бел.яз и лит.",'Самопроверка по школам'!$J$2:$J$68,"п.л.")</f>
        <v>0</v>
      </c>
      <c r="E15" s="17">
        <f>COUNTIFS('Самопроверка по школам'!$D$2:$D$68,"Богушевская санаторная школа-интернат",'Самопроверка по школам'!$E$2:$E$68,"Русский язык и литература",'Самопроверка по школам'!$J$2:$J$68,"п.л.")</f>
        <v>0</v>
      </c>
      <c r="F15" s="17">
        <f>COUNTIFS('Самопроверка по школам'!$J$2:$J$68,"п.л.",'Самопроверка по школам'!$E$2:$E$68,"Английский язык",'Самопроверка по школам'!$D$2:$D$68,"Богушевская санаторная школа-интернат")</f>
        <v>0</v>
      </c>
      <c r="G15" s="17">
        <f>COUNTIFS('Самопроверка по школам'!$J$2:$J$68,"п.л.",'Самопроверка по школам'!$E$2:$E$68,"нем.яз",'Самопроверка по школам'!$D$2:$D$68,"Богушевская санаторная школа-интернат")</f>
        <v>0</v>
      </c>
      <c r="H15" s="17">
        <f>COUNTIFS('Самопроверка по школам'!$D$2:$D$68,"Богушевская санаторная школа-интернат",'Самопроверка по школам'!$E$2:$E$68,"математика",'Самопроверка по школам'!$J$2:$J$68,"п.л.")</f>
        <v>0</v>
      </c>
      <c r="I15" s="17">
        <f>COUNTIFS('Самопроверка по школам'!$D$2:$D$68,"Богушевская санаторная школа-интернат",'Самопроверка по школам'!$E$2:$E$68,"информатика",'Самопроверка по школам'!$J$2:$J$68,"п.л.")</f>
        <v>0</v>
      </c>
      <c r="J15" s="17">
        <f>COUNTIFS('Самопроверка по школам'!$D$2:$D$68,"Богушевская санаторная школа-интернат",'Самопроверка по школам'!$E$2:$E$68,"история",'Самопроверка по школам'!$J$2:$J$68,"п.л.")</f>
        <v>0</v>
      </c>
      <c r="K15" s="17">
        <f>COUNTIFS('Самопроверка по школам'!$D$2:$D$68,"Богушевская санаторная школа-интернат",'Самопроверка по школам'!$E$2:$E$68,"обществоведение",'Самопроверка по школам'!$J$2:$J$68,"п.л.")</f>
        <v>0</v>
      </c>
      <c r="L15" s="17">
        <f>COUNTIFS('Самопроверка по школам'!$D$2:$D$68,"Богушевская санаторная школа-интернат",'Самопроверка по школам'!$E$2:$E$68,"география",'Самопроверка по школам'!$J$2:$J$68,"п.л.")</f>
        <v>0</v>
      </c>
      <c r="M15" s="17">
        <f>COUNTIFS('Самопроверка по школам'!$J$2:$J$68,"п.л.",'Самопроверка по школам'!$E$2:$E$68,"Биология",'Самопроверка по школам'!$D$2:$D$68,"Богушевская санаторная школа-интернат")</f>
        <v>0</v>
      </c>
      <c r="N15" s="17">
        <f>COUNTIFS('Самопроверка по школам'!$D$2:$D$68,"Богушевская санаторная школа-интернат",'Самопроверка по школам'!$E$2:$E$68,"физика",'Самопроверка по школам'!$J$2:$J$68,"п.л.")</f>
        <v>0</v>
      </c>
      <c r="O15" s="17">
        <f>COUNTIFS('Самопроверка по школам'!$J$2:$J$68,"п.л.",'Самопроверка по школам'!$E$2:$E$68,"астрономия",'Самопроверка по школам'!$D$2:$D$68,"Богушевская санаторная школа-интернат")</f>
        <v>0</v>
      </c>
      <c r="P15" s="17">
        <f>COUNTIFS('Самопроверка по школам'!$J$2:$J$68,"п.л.",'Самопроверка по школам'!$E$2:$E$68,"химия",'Самопроверка по школам'!$D$2:$D$68,"Богушевская санаторная школа-интернат")</f>
        <v>0</v>
      </c>
      <c r="Q15" s="17"/>
      <c r="R15" s="17">
        <f>COUNTIFS('Самопроверка по школам'!$J$2:$J$68,"п.л.",'Самопроверка по школам'!$E$2:$E$68,"Трудовое обучение",'Самопроверка по школам'!$D$2:$D$68,"Богушевская санаторная школа-интернат")</f>
        <v>0</v>
      </c>
      <c r="S15" s="48">
        <f t="shared" si="0"/>
        <v>0</v>
      </c>
    </row>
    <row r="16" spans="1:22" ht="18.75" hidden="1" x14ac:dyDescent="0.25">
      <c r="A16" s="6">
        <v>16</v>
      </c>
      <c r="B16" s="9" t="s">
        <v>25</v>
      </c>
      <c r="C16" s="6">
        <f>COUNTIFS('Самопроверка по школам'!$J$2:$J$68,"п.л.",'Самопроверка по школам'!$D$2:$D$68,"Немойтовская ДСБШ")</f>
        <v>0</v>
      </c>
      <c r="D16" s="17">
        <f>COUNTIFS('Самопроверка по школам'!$D$2:$D$68,"Немойтовская ДСБШ",'Самопроверка по школам'!$E$2:$E$68,"бел.яз и лит.",'Самопроверка по школам'!$J$2:$J$68,"п.л.")</f>
        <v>0</v>
      </c>
      <c r="E16" s="17">
        <f>COUNTIFS('Самопроверка по школам'!$D$2:$D$68,"Немойтовская ДСБШ",'Самопроверка по школам'!$E$2:$E$68,"Русский язык и литература",'Самопроверка по школам'!$J$2:$J$68,"п.л.")</f>
        <v>0</v>
      </c>
      <c r="F16" s="17">
        <f>COUNTIFS('Самопроверка по школам'!$J$2:$J$68,"п.л.",'Самопроверка по школам'!$E$2:$E$68,"Английский язык",'Самопроверка по школам'!$D$2:$D$68,"Немойтовская ДСБШ")</f>
        <v>0</v>
      </c>
      <c r="G16" s="17">
        <f>COUNTIFS('Самопроверка по школам'!$J$2:$J$68,"п.л.",'Самопроверка по школам'!$E$2:$E$68,"нем.яз",'Самопроверка по школам'!$D$2:$D$68,"Немойтовская ДСБШ")</f>
        <v>0</v>
      </c>
      <c r="H16" s="17">
        <f>COUNTIFS('Самопроверка по школам'!$D$2:$D$68,"Немойтовская ДСБШ",'Самопроверка по школам'!$E$2:$E$68,"математика",'Самопроверка по школам'!$J$2:$J$68,"п.л.")</f>
        <v>0</v>
      </c>
      <c r="I16" s="17">
        <f>COUNTIFS('Самопроверка по школам'!$D$2:$D$68,"Немойтовская ДСБШ",'Самопроверка по школам'!$E$2:$E$68,"информатика",'Самопроверка по школам'!$J$2:$J$68,"п.л.")</f>
        <v>0</v>
      </c>
      <c r="J16" s="17">
        <f>COUNTIFS('Самопроверка по школам'!$D$2:$D$68,"Немойтовская ДСБШ",'Самопроверка по школам'!$E$2:$E$68,"история",'Самопроверка по школам'!$J$2:$J$68,"п.л.")</f>
        <v>0</v>
      </c>
      <c r="K16" s="17">
        <f>COUNTIFS('Самопроверка по школам'!$D$2:$D$68,"Немойтовская ДСБШ",'Самопроверка по школам'!$E$2:$E$68,"обществоведение",'Самопроверка по школам'!$J$2:$J$68,"п.л.")</f>
        <v>0</v>
      </c>
      <c r="L16" s="17">
        <f>COUNTIFS('Самопроверка по школам'!$D$2:$D$68,"Немойтовская ДСБШ",'Самопроверка по школам'!$E$2:$E$68,"география",'Самопроверка по школам'!$J$2:$J$68,"п.л.")</f>
        <v>0</v>
      </c>
      <c r="M16" s="17">
        <f>COUNTIFS('Самопроверка по школам'!$J$2:$J$68,"п.л.",'Самопроверка по школам'!$E$2:$E$68,"Биология",'Самопроверка по школам'!$D$2:$D$68,"Немойтовская ДСБШ")</f>
        <v>0</v>
      </c>
      <c r="N16" s="17">
        <f>COUNTIFS('Самопроверка по школам'!$D$2:$D$68,"Немойтовская ДСБШ",'Самопроверка по школам'!$E$2:$E$68,"физика",'Самопроверка по школам'!$J$2:$J$68,"п.л.")</f>
        <v>0</v>
      </c>
      <c r="O16" s="17">
        <f>COUNTIFS('Самопроверка по школам'!$J$2:$J$68,"п.л.",'Самопроверка по школам'!$E$2:$E$68,"астрономия",'Самопроверка по школам'!$D$2:$D$68,"Немойтовская ДСБШ")</f>
        <v>0</v>
      </c>
      <c r="P16" s="17">
        <f>COUNTIFS('Самопроверка по школам'!$J$2:$J$68,"п.л.",'Самопроверка по школам'!$E$2:$E$68,"химия",'Самопроверка по школам'!$D$2:$D$68,"Немойтовская ДСБШ")</f>
        <v>0</v>
      </c>
      <c r="Q16" s="17"/>
      <c r="R16" s="17">
        <f>COUNTIFS('Самопроверка по школам'!$J$2:$J$68,"п.л.",'Самопроверка по школам'!$E$2:$E$68,"Трудовое обучение",'Самопроверка по школам'!$D$2:$D$68,"Немойтовская ДСБШ")</f>
        <v>0</v>
      </c>
      <c r="S16" s="48">
        <f t="shared" si="0"/>
        <v>0</v>
      </c>
    </row>
    <row r="17" spans="1:22" ht="18.75" hidden="1" x14ac:dyDescent="0.25">
      <c r="A17" s="6">
        <v>17</v>
      </c>
      <c r="B17" s="9" t="s">
        <v>20</v>
      </c>
      <c r="C17" s="6">
        <f>COUNTIFS('Самопроверка по школам'!$J$2:$J$68,"п.л.",'Самопроверка по школам'!$D$2:$D$68,"Ульяновичская ДСБШ")</f>
        <v>0</v>
      </c>
      <c r="D17" s="17">
        <f>COUNTIFS('Самопроверка по школам'!$D$2:$D$68,"Ульяновичская ДСБШ",'Самопроверка по школам'!$E$2:$E$68,"бел.яз и лит.",'Самопроверка по школам'!$J$2:$J$68,"п.л.")</f>
        <v>0</v>
      </c>
      <c r="E17" s="17">
        <f>COUNTIFS('Самопроверка по школам'!$D$2:$D$68,"Ульяновичская ДСБШ",'Самопроверка по школам'!$E$2:$E$68,"Русский язык и литература",'Самопроверка по школам'!$J$2:$J$68,"п.л.")</f>
        <v>0</v>
      </c>
      <c r="F17" s="17">
        <f>COUNTIFS('Самопроверка по школам'!$J$2:$J$68,"п.л.",'Самопроверка по школам'!$E$2:$E$68,"Английский язык",'Самопроверка по школам'!$D$2:$D$68,"Ульяновичская ДСБШ")</f>
        <v>0</v>
      </c>
      <c r="G17" s="17">
        <f>COUNTIFS('Самопроверка по школам'!$J$2:$J$68,"п.л.",'Самопроверка по школам'!$E$2:$E$68,"нем.яз",'Самопроверка по школам'!$D$2:$D$68,"Ульяновичская ДСБШ")</f>
        <v>0</v>
      </c>
      <c r="H17" s="17">
        <f>COUNTIFS('Самопроверка по школам'!$D$2:$D$68,"Ульяновичская ДСБШ",'Самопроверка по школам'!$E$2:$E$68,"математика",'Самопроверка по школам'!$J$2:$J$68,"п.л.")</f>
        <v>0</v>
      </c>
      <c r="I17" s="17">
        <f>COUNTIFS('Самопроверка по школам'!$D$2:$D$68,"Ульяновичская ДСБШ",'Самопроверка по школам'!$E$2:$E$68,"информатика",'Самопроверка по школам'!$J$2:$J$68,"п.л.")</f>
        <v>0</v>
      </c>
      <c r="J17" s="17">
        <f>COUNTIFS('Самопроверка по школам'!$D$2:$D$68,"Ульяновичская ДСБШ",'Самопроверка по школам'!$E$2:$E$68,"история",'Самопроверка по школам'!$J$2:$J$68,"п.л.")</f>
        <v>0</v>
      </c>
      <c r="K17" s="17">
        <f>COUNTIFS('Самопроверка по школам'!$D$2:$D$68,"Ульяновичская ДСБШ",'Самопроверка по школам'!$E$2:$E$68,"обществоведение",'Самопроверка по школам'!$J$2:$J$68,"п.л.")</f>
        <v>0</v>
      </c>
      <c r="L17" s="17">
        <f>COUNTIFS('Самопроверка по школам'!$D$2:$D$68,"Ульяновичская ДСБШ",'Самопроверка по школам'!$E$2:$E$68,"география",'Самопроверка по школам'!$J$2:$J$68,"п.л.")</f>
        <v>0</v>
      </c>
      <c r="M17" s="17">
        <f>COUNTIFS('Самопроверка по школам'!$J$2:$J$68,"п.л.",'Самопроверка по школам'!$E$2:$E$68,"Биология",'Самопроверка по школам'!$D$2:$D$68,"Ульяновичская ДСБШ")</f>
        <v>0</v>
      </c>
      <c r="N17" s="17">
        <f>COUNTIFS('Самопроверка по школам'!$D$2:$D$68,"Ульяновичская ДСБШ",'Самопроверка по школам'!$E$2:$E$68,"физика",'Самопроверка по школам'!$J$2:$J$68,"п.л.")</f>
        <v>0</v>
      </c>
      <c r="O17" s="17">
        <f>COUNTIFS('Самопроверка по школам'!$J$2:$J$68,"п.л.",'Самопроверка по школам'!$E$2:$E$68,"астрономия",'Самопроверка по школам'!$D$2:$D$68,"Ульяновичская ДСБШ")</f>
        <v>0</v>
      </c>
      <c r="P17" s="17">
        <f>COUNTIFS('Самопроверка по школам'!$J$2:$J$68,"п.л.",'Самопроверка по школам'!$E$2:$E$68,"химия",'Самопроверка по школам'!$D$2:$D$68,"Ульяновичская ДСБШ")</f>
        <v>0</v>
      </c>
      <c r="Q17" s="17"/>
      <c r="R17" s="17">
        <f>COUNTIFS('Самопроверка по школам'!$J$2:$J$68,"п.л.",'Самопроверка по школам'!$E$2:$E$68,"Трудовое обучение",'Самопроверка по школам'!$D$2:$D$68,"Ульяновичская ДСБШ")</f>
        <v>0</v>
      </c>
      <c r="S17" s="48">
        <f t="shared" si="0"/>
        <v>0</v>
      </c>
    </row>
    <row r="18" spans="1:22" ht="20.25" x14ac:dyDescent="0.25">
      <c r="A18" s="20"/>
      <c r="B18" s="21" t="s">
        <v>28</v>
      </c>
      <c r="C18" s="65">
        <f>SUM(C3:C17)</f>
        <v>58</v>
      </c>
      <c r="D18" s="24">
        <f>SUM(D3:D17)</f>
        <v>13</v>
      </c>
      <c r="E18" s="25">
        <f>SUM(E3:E17)</f>
        <v>18</v>
      </c>
      <c r="F18" s="26">
        <f t="shared" ref="F18:Q18" si="1">SUM(F1:F17)</f>
        <v>1</v>
      </c>
      <c r="G18" s="27">
        <f t="shared" si="1"/>
        <v>0</v>
      </c>
      <c r="H18" s="28">
        <f t="shared" si="1"/>
        <v>8</v>
      </c>
      <c r="I18" s="29">
        <f t="shared" si="1"/>
        <v>0</v>
      </c>
      <c r="J18" s="30">
        <f t="shared" si="1"/>
        <v>4</v>
      </c>
      <c r="K18" s="31">
        <f t="shared" si="1"/>
        <v>0</v>
      </c>
      <c r="L18" s="29">
        <f t="shared" si="1"/>
        <v>0</v>
      </c>
      <c r="M18" s="32">
        <f t="shared" si="1"/>
        <v>4</v>
      </c>
      <c r="N18" s="26">
        <f t="shared" si="1"/>
        <v>0</v>
      </c>
      <c r="O18" s="33">
        <f t="shared" si="1"/>
        <v>0</v>
      </c>
      <c r="P18" s="28">
        <f t="shared" si="1"/>
        <v>0</v>
      </c>
      <c r="Q18" s="28">
        <f t="shared" si="1"/>
        <v>4</v>
      </c>
      <c r="R18" s="34">
        <f>SUM(R3:R17)</f>
        <v>6</v>
      </c>
      <c r="S18" s="48">
        <f t="shared" si="0"/>
        <v>58</v>
      </c>
      <c r="T18" s="48">
        <f>SUM(S3:S14)</f>
        <v>58</v>
      </c>
      <c r="V18" s="48"/>
    </row>
  </sheetData>
  <mergeCells count="17">
    <mergeCell ref="A1:C1"/>
    <mergeCell ref="J1:J2"/>
    <mergeCell ref="K1:K2"/>
    <mergeCell ref="L1:L2"/>
    <mergeCell ref="M1:M2"/>
    <mergeCell ref="D1:D2"/>
    <mergeCell ref="E1:E2"/>
    <mergeCell ref="F1:F2"/>
    <mergeCell ref="G1:G2"/>
    <mergeCell ref="H1:H2"/>
    <mergeCell ref="I1:I2"/>
    <mergeCell ref="Q1:Q2"/>
    <mergeCell ref="S1:S2"/>
    <mergeCell ref="P1:P2"/>
    <mergeCell ref="R1:R2"/>
    <mergeCell ref="N1:N2"/>
    <mergeCell ref="O1:O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5"/>
  <sheetViews>
    <sheetView zoomScale="85" zoomScaleNormal="85" workbookViewId="0">
      <selection activeCell="T9" sqref="T9"/>
    </sheetView>
  </sheetViews>
  <sheetFormatPr defaultRowHeight="15" x14ac:dyDescent="0.25"/>
  <cols>
    <col min="1" max="1" width="23.140625" customWidth="1"/>
    <col min="2" max="2" width="6.28515625" customWidth="1"/>
    <col min="3" max="3" width="12.28515625" customWidth="1"/>
    <col min="4" max="4" width="10.7109375" customWidth="1"/>
    <col min="5" max="5" width="9" customWidth="1"/>
    <col min="6" max="7" width="5.28515625" customWidth="1"/>
    <col min="8" max="8" width="4.85546875" customWidth="1"/>
    <col min="9" max="9" width="6" customWidth="1"/>
    <col min="10" max="10" width="5.28515625" customWidth="1"/>
    <col min="11" max="12" width="6.7109375" customWidth="1"/>
    <col min="13" max="13" width="5.7109375" customWidth="1"/>
    <col min="14" max="14" width="5.42578125" customWidth="1"/>
    <col min="15" max="15" width="5.140625" customWidth="1"/>
    <col min="16" max="16" width="5.5703125" customWidth="1"/>
    <col min="17" max="20" width="5" customWidth="1"/>
    <col min="21" max="21" width="6.85546875" customWidth="1"/>
    <col min="22" max="22" width="4.28515625" customWidth="1"/>
    <col min="23" max="23" width="7.85546875" customWidth="1"/>
  </cols>
  <sheetData>
    <row r="1" spans="1:23" ht="44.25" customHeight="1" x14ac:dyDescent="0.25">
      <c r="A1" s="172" t="s">
        <v>330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4"/>
      <c r="V1" s="82"/>
      <c r="W1" s="83"/>
    </row>
    <row r="2" spans="1:23" ht="20.25" customHeight="1" x14ac:dyDescent="0.25">
      <c r="A2" s="232" t="s">
        <v>329</v>
      </c>
      <c r="B2" s="216" t="s">
        <v>103</v>
      </c>
      <c r="C2" s="245" t="s">
        <v>107</v>
      </c>
      <c r="D2" s="218" t="s">
        <v>42</v>
      </c>
      <c r="E2" s="246" t="s">
        <v>73</v>
      </c>
      <c r="F2" s="232" t="s">
        <v>78</v>
      </c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50" t="s">
        <v>23</v>
      </c>
    </row>
    <row r="3" spans="1:23" ht="20.25" customHeight="1" x14ac:dyDescent="0.25">
      <c r="A3" s="232"/>
      <c r="B3" s="216"/>
      <c r="C3" s="245"/>
      <c r="D3" s="218"/>
      <c r="E3" s="247"/>
      <c r="F3" s="225" t="s">
        <v>29</v>
      </c>
      <c r="G3" s="226" t="s">
        <v>30</v>
      </c>
      <c r="H3" s="227" t="s">
        <v>31</v>
      </c>
      <c r="I3" s="228" t="s">
        <v>32</v>
      </c>
      <c r="J3" s="229" t="s">
        <v>33</v>
      </c>
      <c r="K3" s="214" t="s">
        <v>34</v>
      </c>
      <c r="L3" s="233" t="s">
        <v>35</v>
      </c>
      <c r="M3" s="234" t="s">
        <v>36</v>
      </c>
      <c r="N3" s="214" t="s">
        <v>37</v>
      </c>
      <c r="O3" s="215" t="s">
        <v>44</v>
      </c>
      <c r="P3" s="227" t="s">
        <v>45</v>
      </c>
      <c r="Q3" s="230" t="s">
        <v>46</v>
      </c>
      <c r="R3" s="229" t="s">
        <v>47</v>
      </c>
      <c r="S3" s="235" t="s">
        <v>158</v>
      </c>
      <c r="T3" s="235" t="s">
        <v>159</v>
      </c>
      <c r="U3" s="251"/>
    </row>
    <row r="4" spans="1:23" ht="55.5" customHeight="1" x14ac:dyDescent="0.25">
      <c r="A4" s="232"/>
      <c r="B4" s="216"/>
      <c r="C4" s="245"/>
      <c r="D4" s="218"/>
      <c r="E4" s="248"/>
      <c r="F4" s="225"/>
      <c r="G4" s="226"/>
      <c r="H4" s="227"/>
      <c r="I4" s="228"/>
      <c r="J4" s="229"/>
      <c r="K4" s="214"/>
      <c r="L4" s="233"/>
      <c r="M4" s="234"/>
      <c r="N4" s="214"/>
      <c r="O4" s="215"/>
      <c r="P4" s="227"/>
      <c r="Q4" s="230"/>
      <c r="R4" s="229"/>
      <c r="S4" s="236"/>
      <c r="T4" s="236"/>
      <c r="U4" s="252"/>
    </row>
    <row r="5" spans="1:23" ht="16.5" customHeight="1" x14ac:dyDescent="0.25">
      <c r="A5" s="14" t="s">
        <v>13</v>
      </c>
      <c r="B5" s="100">
        <v>314</v>
      </c>
      <c r="C5" s="8">
        <f>'Предварительная Результативност'!H4</f>
        <v>61</v>
      </c>
      <c r="D5" s="47">
        <f>E5/C5</f>
        <v>0.37704918032786883</v>
      </c>
      <c r="E5" s="15">
        <f>'Результативность по предметам'!E5</f>
        <v>23</v>
      </c>
      <c r="F5" s="17">
        <f>'Результативность по предметам'!I5+нерезульт.выступление!F5+'Похвальные листы Школы Предметы'!D3</f>
        <v>11</v>
      </c>
      <c r="G5" s="17">
        <f>'Результативность по предметам'!J5+нерезульт.выступление!G5+'Похвальные листы Школы Предметы'!E3</f>
        <v>17</v>
      </c>
      <c r="H5" s="17">
        <f>'Результативность по предметам'!K5+нерезульт.выступление!H5+'Похвальные листы Школы Предметы'!F3</f>
        <v>3</v>
      </c>
      <c r="I5" s="17">
        <f>'Результативность по предметам'!L5+нерезульт.выступление!I5+'Похвальные листы Школы Предметы'!G3</f>
        <v>0</v>
      </c>
      <c r="J5" s="17">
        <f>'Результативность по предметам'!M5+нерезульт.выступление!J5+'Похвальные листы Школы Предметы'!H3</f>
        <v>10</v>
      </c>
      <c r="K5" s="17">
        <f>'Результативность по предметам'!N5+нерезульт.выступление!K5+'Похвальные листы Школы Предметы'!I3</f>
        <v>0</v>
      </c>
      <c r="L5" s="17">
        <f>'Результативность по предметам'!O5+нерезульт.выступление!L5+'Похвальные листы Школы Предметы'!J3</f>
        <v>6</v>
      </c>
      <c r="M5" s="17">
        <f>'Результативность по предметам'!P5+нерезульт.выступление!M5+'Похвальные листы Школы Предметы'!K3</f>
        <v>0</v>
      </c>
      <c r="N5" s="17">
        <f>'Результативность по предметам'!Q5+нерезульт.выступление!N5+'Похвальные листы Школы Предметы'!L3</f>
        <v>5</v>
      </c>
      <c r="O5" s="17">
        <f>'Результативность по предметам'!R5+нерезульт.выступление!O5+'Похвальные листы Школы Предметы'!M3</f>
        <v>3</v>
      </c>
      <c r="P5" s="17">
        <f>'Результативность по предметам'!S5+нерезульт.выступление!P5+'Похвальные листы Школы Предметы'!N3</f>
        <v>1</v>
      </c>
      <c r="Q5" s="17">
        <f>'Результативность по предметам'!T5+нерезульт.выступление!Q5+'Похвальные листы Школы Предметы'!O3</f>
        <v>0</v>
      </c>
      <c r="R5" s="17">
        <f>'Результативность по предметам'!U5+нерезульт.выступление!R5+'Похвальные листы Школы Предметы'!P3</f>
        <v>2</v>
      </c>
      <c r="S5" s="17">
        <f>'Результативность по предметам'!V5+нерезульт.выступление!S5+'Похвальные листы Школы Предметы'!Q3</f>
        <v>2</v>
      </c>
      <c r="T5" s="17">
        <f>'Результативность по предметам'!W5+нерезульт.выступление!T5+'Похвальные листы Школы Предметы'!R3</f>
        <v>1</v>
      </c>
      <c r="U5" s="40">
        <f>'Похвальные листы Школы Предметы'!C3</f>
        <v>12</v>
      </c>
      <c r="W5" s="38">
        <f>SUM(F5:T5)</f>
        <v>61</v>
      </c>
    </row>
    <row r="6" spans="1:23" ht="15.75" customHeight="1" x14ac:dyDescent="0.25">
      <c r="A6" s="14" t="s">
        <v>10</v>
      </c>
      <c r="B6" s="100">
        <v>327</v>
      </c>
      <c r="C6" s="8">
        <f>'Предварительная Результативност'!H5</f>
        <v>67</v>
      </c>
      <c r="D6" s="47">
        <f t="shared" ref="D6:D20" si="0">E6/C6</f>
        <v>0.37313432835820898</v>
      </c>
      <c r="E6" s="15">
        <f>'Результативность по предметам'!E6</f>
        <v>25</v>
      </c>
      <c r="F6" s="17">
        <f>'Результативность по предметам'!I6+нерезульт.выступление!F6+'Похвальные листы Школы Предметы'!D4</f>
        <v>13</v>
      </c>
      <c r="G6" s="17">
        <f>'Результативность по предметам'!J6+нерезульт.выступление!G6+'Похвальные листы Школы Предметы'!E4</f>
        <v>16</v>
      </c>
      <c r="H6" s="17">
        <f>'Результативность по предметам'!K6+нерезульт.выступление!H6+'Похвальные листы Школы Предметы'!F4</f>
        <v>2</v>
      </c>
      <c r="I6" s="17">
        <f>'Результативность по предметам'!L6+нерезульт.выступление!I6+'Похвальные листы Школы Предметы'!G4</f>
        <v>0</v>
      </c>
      <c r="J6" s="17">
        <f>'Результативность по предметам'!M6+нерезульт.выступление!J6+'Похвальные листы Школы Предметы'!H4</f>
        <v>12</v>
      </c>
      <c r="K6" s="17">
        <f>'Результативность по предметам'!N6+нерезульт.выступление!K6+'Похвальные листы Школы Предметы'!I4</f>
        <v>0</v>
      </c>
      <c r="L6" s="17">
        <f>'Результативность по предметам'!O6+нерезульт.выступление!L6+'Похвальные листы Школы Предметы'!J4</f>
        <v>4</v>
      </c>
      <c r="M6" s="17">
        <f>'Результативность по предметам'!P6+нерезульт.выступление!M6+'Похвальные листы Школы Предметы'!K4</f>
        <v>0</v>
      </c>
      <c r="N6" s="17">
        <f>'Результативность по предметам'!Q6+нерезульт.выступление!N6+'Похвальные листы Школы Предметы'!L4</f>
        <v>3</v>
      </c>
      <c r="O6" s="17">
        <f>'Результативность по предметам'!R6+нерезульт.выступление!O6+'Похвальные листы Школы Предметы'!M4</f>
        <v>1</v>
      </c>
      <c r="P6" s="17">
        <f>'Результативность по предметам'!S6+нерезульт.выступление!P6+'Похвальные листы Школы Предметы'!N4</f>
        <v>3</v>
      </c>
      <c r="Q6" s="17">
        <f>'Результативность по предметам'!T6+нерезульт.выступление!Q6+'Похвальные листы Школы Предметы'!O4</f>
        <v>0</v>
      </c>
      <c r="R6" s="17">
        <f>'Результативность по предметам'!U6+нерезульт.выступление!R6+'Похвальные листы Школы Предметы'!P4</f>
        <v>1</v>
      </c>
      <c r="S6" s="17">
        <f>'Результативность по предметам'!V6+нерезульт.выступление!S6+'Похвальные листы Школы Предметы'!Q4</f>
        <v>8</v>
      </c>
      <c r="T6" s="17">
        <f>'Результативность по предметам'!W6+нерезульт.выступление!T6+'Похвальные листы Школы Предметы'!R4</f>
        <v>4</v>
      </c>
      <c r="U6" s="40">
        <f>'Похвальные листы Школы Предметы'!C4</f>
        <v>20</v>
      </c>
      <c r="W6" s="38">
        <f t="shared" ref="W6:W16" si="1">SUM(F6:T6)</f>
        <v>67</v>
      </c>
    </row>
    <row r="7" spans="1:23" ht="15.75" hidden="1" customHeight="1" x14ac:dyDescent="0.25">
      <c r="A7" s="14" t="s">
        <v>11</v>
      </c>
      <c r="B7" s="100"/>
      <c r="C7" s="8">
        <f>'Предварительная Результативност'!H6</f>
        <v>0</v>
      </c>
      <c r="D7" s="47" t="e">
        <f t="shared" si="0"/>
        <v>#DIV/0!</v>
      </c>
      <c r="E7" s="15">
        <f>'Результативность по предметам'!E7</f>
        <v>0</v>
      </c>
      <c r="F7" s="17">
        <f>'Результативность по предметам'!I7+нерезульт.выступление!F7+'Похвальные листы Школы Предметы'!D5</f>
        <v>0</v>
      </c>
      <c r="G7" s="17">
        <f>'Результативность по предметам'!J7+нерезульт.выступление!G7+'Похвальные листы Школы Предметы'!E5</f>
        <v>0</v>
      </c>
      <c r="H7" s="17">
        <f>'Результативность по предметам'!K7+нерезульт.выступление!H7+'Похвальные листы Школы Предметы'!F5</f>
        <v>0</v>
      </c>
      <c r="I7" s="17">
        <f>'Результативность по предметам'!L7+нерезульт.выступление!I7+'Похвальные листы Школы Предметы'!G5</f>
        <v>0</v>
      </c>
      <c r="J7" s="17">
        <f>'Результативность по предметам'!M7+нерезульт.выступление!J7+'Похвальные листы Школы Предметы'!H5</f>
        <v>0</v>
      </c>
      <c r="K7" s="17">
        <f>'Результативность по предметам'!N7+нерезульт.выступление!K7+'Похвальные листы Школы Предметы'!I5</f>
        <v>0</v>
      </c>
      <c r="L7" s="17">
        <f>'Результативность по предметам'!O7+нерезульт.выступление!L7+'Похвальные листы Школы Предметы'!J5</f>
        <v>0</v>
      </c>
      <c r="M7" s="17">
        <f>'Результативность по предметам'!P7+нерезульт.выступление!M7+'Похвальные листы Школы Предметы'!K5</f>
        <v>0</v>
      </c>
      <c r="N7" s="17">
        <f>'Результативность по предметам'!Q7+нерезульт.выступление!N7+'Похвальные листы Школы Предметы'!L5</f>
        <v>0</v>
      </c>
      <c r="O7" s="17">
        <f>'Результативность по предметам'!R7+нерезульт.выступление!O7+'Похвальные листы Школы Предметы'!M5</f>
        <v>0</v>
      </c>
      <c r="P7" s="17">
        <f>'Результативность по предметам'!S7+нерезульт.выступление!P7+'Похвальные листы Школы Предметы'!N5</f>
        <v>0</v>
      </c>
      <c r="Q7" s="17">
        <f>'Результативность по предметам'!T7+нерезульт.выступление!Q7+'Похвальные листы Школы Предметы'!O5</f>
        <v>0</v>
      </c>
      <c r="R7" s="17">
        <f>'Результативность по предметам'!U7+нерезульт.выступление!R7+'Похвальные листы Школы Предметы'!P5</f>
        <v>0</v>
      </c>
      <c r="S7" s="17"/>
      <c r="T7" s="17">
        <f>'Результативность по предметам'!V7+нерезульт.выступление!T7+'Похвальные листы Школы Предметы'!R5</f>
        <v>0</v>
      </c>
      <c r="U7" s="40">
        <f>'Похвальные листы Школы Предметы'!C5</f>
        <v>0</v>
      </c>
      <c r="W7" s="38">
        <f t="shared" si="1"/>
        <v>0</v>
      </c>
    </row>
    <row r="8" spans="1:23" ht="15.75" customHeight="1" x14ac:dyDescent="0.25">
      <c r="A8" s="14" t="s">
        <v>109</v>
      </c>
      <c r="B8" s="100">
        <v>179</v>
      </c>
      <c r="C8" s="8">
        <f>'Предварительная Результативност'!H7</f>
        <v>37</v>
      </c>
      <c r="D8" s="47">
        <f t="shared" si="0"/>
        <v>0.45945945945945948</v>
      </c>
      <c r="E8" s="15">
        <f>'Результативность по предметам'!E8</f>
        <v>17</v>
      </c>
      <c r="F8" s="17">
        <f>'Результативность по предметам'!I8+нерезульт.выступление!F8+'Похвальные листы Школы Предметы'!D6</f>
        <v>8</v>
      </c>
      <c r="G8" s="17">
        <f>'Результативность по предметам'!J8+нерезульт.выступление!G8+'Похвальные листы Школы Предметы'!E6</f>
        <v>10</v>
      </c>
      <c r="H8" s="17">
        <f>'Результативность по предметам'!K8+нерезульт.выступление!H8+'Похвальные листы Школы Предметы'!F6</f>
        <v>4</v>
      </c>
      <c r="I8" s="17">
        <f>'Результативность по предметам'!L8+нерезульт.выступление!I8+'Похвальные листы Школы Предметы'!G6</f>
        <v>0</v>
      </c>
      <c r="J8" s="17">
        <f>'Результативность по предметам'!M8+нерезульт.выступление!J8+'Похвальные листы Школы Предметы'!H6</f>
        <v>4</v>
      </c>
      <c r="K8" s="17">
        <f>'Результативность по предметам'!N8+нерезульт.выступление!K8+'Похвальные листы Школы Предметы'!I6</f>
        <v>0</v>
      </c>
      <c r="L8" s="17">
        <f>'Результативность по предметам'!O8+нерезульт.выступление!L8+'Похвальные листы Школы Предметы'!J6</f>
        <v>2</v>
      </c>
      <c r="M8" s="17">
        <f>'Результативность по предметам'!P8+нерезульт.выступление!M8+'Похвальные листы Школы Предметы'!K6</f>
        <v>0</v>
      </c>
      <c r="N8" s="17">
        <f>'Результативность по предметам'!Q8+нерезульт.выступление!N8+'Похвальные листы Школы Предметы'!L6</f>
        <v>1</v>
      </c>
      <c r="O8" s="17">
        <f>'Результативность по предметам'!R8+нерезульт.выступление!O8+'Похвальные листы Школы Предметы'!M6</f>
        <v>2</v>
      </c>
      <c r="P8" s="17">
        <f>'Результативность по предметам'!S8+нерезульт.выступление!P8+'Похвальные листы Школы Предметы'!N6</f>
        <v>0</v>
      </c>
      <c r="Q8" s="17">
        <f>'Результативность по предметам'!T8+нерезульт.выступление!Q8+'Похвальные листы Школы Предметы'!O6</f>
        <v>0</v>
      </c>
      <c r="R8" s="17">
        <f>'Результативность по предметам'!U8+нерезульт.выступление!R8+'Похвальные листы Школы Предметы'!P6</f>
        <v>0</v>
      </c>
      <c r="S8" s="17">
        <f>'Результативность по предметам'!V8+нерезульт.выступление!S8+'Похвальные листы Школы Предметы'!Q6</f>
        <v>4</v>
      </c>
      <c r="T8" s="17">
        <f>'Результативность по предметам'!W8+нерезульт.выступление!T8+'Похвальные листы Школы Предметы'!R6</f>
        <v>2</v>
      </c>
      <c r="U8" s="40">
        <f>'Похвальные листы Школы Предметы'!C6</f>
        <v>6</v>
      </c>
      <c r="W8" s="38">
        <f>SUM(F8:T8)</f>
        <v>37</v>
      </c>
    </row>
    <row r="9" spans="1:23" ht="15.75" customHeight="1" x14ac:dyDescent="0.25">
      <c r="A9" s="14" t="s">
        <v>15</v>
      </c>
      <c r="B9" s="100">
        <v>19</v>
      </c>
      <c r="C9" s="8">
        <f>'Предварительная Результативност'!H8</f>
        <v>5</v>
      </c>
      <c r="D9" s="47">
        <f t="shared" si="0"/>
        <v>0.4</v>
      </c>
      <c r="E9" s="15">
        <f>'Результативность по предметам'!E9</f>
        <v>2</v>
      </c>
      <c r="F9" s="17">
        <f>'Результативность по предметам'!I9+нерезульт.выступление!F9+'Похвальные листы Школы Предметы'!D7</f>
        <v>3</v>
      </c>
      <c r="G9" s="17">
        <f>'Результативность по предметам'!J9+нерезульт.выступление!G9+'Похвальные листы Школы Предметы'!E7</f>
        <v>0</v>
      </c>
      <c r="H9" s="17">
        <f>'Результативность по предметам'!K9+нерезульт.выступление!H9+'Похвальные листы Школы Предметы'!F7</f>
        <v>0</v>
      </c>
      <c r="I9" s="17">
        <f>'Результативность по предметам'!L9+нерезульт.выступление!I9+'Похвальные листы Школы Предметы'!G7</f>
        <v>0</v>
      </c>
      <c r="J9" s="17">
        <f>'Результативность по предметам'!M9+нерезульт.выступление!J9+'Похвальные листы Школы Предметы'!H7</f>
        <v>1</v>
      </c>
      <c r="K9" s="17">
        <f>'Результативность по предметам'!N9+нерезульт.выступление!K9+'Похвальные листы Школы Предметы'!I7</f>
        <v>0</v>
      </c>
      <c r="L9" s="17">
        <f>'Результативность по предметам'!O9+нерезульт.выступление!L9+'Похвальные листы Школы Предметы'!J7</f>
        <v>0</v>
      </c>
      <c r="M9" s="17">
        <f>'Результативность по предметам'!P9+нерезульт.выступление!M9+'Похвальные листы Школы Предметы'!K7</f>
        <v>0</v>
      </c>
      <c r="N9" s="17">
        <f>'Результативность по предметам'!Q9+нерезульт.выступление!N9+'Похвальные листы Школы Предметы'!L7</f>
        <v>0</v>
      </c>
      <c r="O9" s="17">
        <f>'Результативность по предметам'!R9+нерезульт.выступление!O9+'Похвальные листы Школы Предметы'!M7</f>
        <v>1</v>
      </c>
      <c r="P9" s="17">
        <f>'Результативность по предметам'!S9+нерезульт.выступление!P9+'Похвальные листы Школы Предметы'!N7</f>
        <v>0</v>
      </c>
      <c r="Q9" s="17">
        <f>'Результативность по предметам'!T9+нерезульт.выступление!Q9+'Похвальные листы Школы Предметы'!O7</f>
        <v>0</v>
      </c>
      <c r="R9" s="17">
        <f>'Результативность по предметам'!U9+нерезульт.выступление!R9+'Похвальные листы Школы Предметы'!P7</f>
        <v>0</v>
      </c>
      <c r="S9" s="17">
        <f>'Результативность по предметам'!V9+нерезульт.выступление!S9+'Похвальные листы Школы Предметы'!Q7</f>
        <v>0</v>
      </c>
      <c r="T9" s="17">
        <f>'Результативность по предметам'!W9+нерезульт.выступление!T9+'Похвальные листы Школы Предметы'!R7</f>
        <v>0</v>
      </c>
      <c r="U9" s="40">
        <f>'Похвальные листы Школы Предметы'!C7</f>
        <v>0</v>
      </c>
      <c r="W9" s="38">
        <f t="shared" si="1"/>
        <v>5</v>
      </c>
    </row>
    <row r="10" spans="1:23" ht="15.75" customHeight="1" x14ac:dyDescent="0.25">
      <c r="A10" s="14" t="s">
        <v>108</v>
      </c>
      <c r="B10" s="100">
        <v>4</v>
      </c>
      <c r="C10" s="8">
        <f>'Предварительная Результативност'!H9</f>
        <v>2</v>
      </c>
      <c r="D10" s="47">
        <f t="shared" si="0"/>
        <v>0</v>
      </c>
      <c r="E10" s="15">
        <f>'Результативность по предметам'!E10</f>
        <v>0</v>
      </c>
      <c r="F10" s="17">
        <f>'Результативность по предметам'!I10+нерезульт.выступление!F10+'Похвальные листы Школы Предметы'!D8</f>
        <v>0</v>
      </c>
      <c r="G10" s="17">
        <f>'Результативность по предметам'!J10+нерезульт.выступление!G10+'Похвальные листы Школы Предметы'!E8</f>
        <v>1</v>
      </c>
      <c r="H10" s="17">
        <f>'Результативность по предметам'!K10+нерезульт.выступление!H10+'Похвальные листы Школы Предметы'!F8</f>
        <v>0</v>
      </c>
      <c r="I10" s="17">
        <f>'Результативность по предметам'!L10+нерезульт.выступление!I10+'Похвальные листы Школы Предметы'!G8</f>
        <v>0</v>
      </c>
      <c r="J10" s="17">
        <f>'Результативность по предметам'!M10+нерезульт.выступление!J10+'Похвальные листы Школы Предметы'!H8</f>
        <v>1</v>
      </c>
      <c r="K10" s="17">
        <f>'Результативность по предметам'!N10+нерезульт.выступление!K10+'Похвальные листы Школы Предметы'!I8</f>
        <v>0</v>
      </c>
      <c r="L10" s="17">
        <f>'Результативность по предметам'!O10+нерезульт.выступление!L10+'Похвальные листы Школы Предметы'!J8</f>
        <v>0</v>
      </c>
      <c r="M10" s="17">
        <f>'Результативность по предметам'!P10+нерезульт.выступление!M10+'Похвальные листы Школы Предметы'!K8</f>
        <v>0</v>
      </c>
      <c r="N10" s="17">
        <f>'Результативность по предметам'!Q10+нерезульт.выступление!N10+'Похвальные листы Школы Предметы'!L8</f>
        <v>0</v>
      </c>
      <c r="O10" s="17">
        <f>'Результативность по предметам'!R10+нерезульт.выступление!O10+'Похвальные листы Школы Предметы'!M8</f>
        <v>0</v>
      </c>
      <c r="P10" s="17">
        <f>'Результативность по предметам'!S10+нерезульт.выступление!P10+'Похвальные листы Школы Предметы'!N8</f>
        <v>0</v>
      </c>
      <c r="Q10" s="17">
        <f>'Результативность по предметам'!T10+нерезульт.выступление!Q10+'Похвальные листы Школы Предметы'!O8</f>
        <v>0</v>
      </c>
      <c r="R10" s="17">
        <f>'Результативность по предметам'!U10+нерезульт.выступление!R10+'Похвальные листы Школы Предметы'!P8</f>
        <v>0</v>
      </c>
      <c r="S10" s="17">
        <f>'Результативность по предметам'!V10+нерезульт.выступление!S10+'Похвальные листы Школы Предметы'!Q8</f>
        <v>0</v>
      </c>
      <c r="T10" s="17">
        <f>'Результативность по предметам'!W10+нерезульт.выступление!T10+'Похвальные листы Школы Предметы'!R8</f>
        <v>0</v>
      </c>
      <c r="U10" s="40">
        <f>'Похвальные листы Школы Предметы'!C8</f>
        <v>0</v>
      </c>
      <c r="W10" s="38">
        <f t="shared" si="1"/>
        <v>2</v>
      </c>
    </row>
    <row r="11" spans="1:23" ht="15.75" customHeight="1" x14ac:dyDescent="0.25">
      <c r="A11" s="14" t="s">
        <v>16</v>
      </c>
      <c r="B11" s="100">
        <v>20</v>
      </c>
      <c r="C11" s="8">
        <f>'Предварительная Результативност'!H10</f>
        <v>3</v>
      </c>
      <c r="D11" s="47">
        <f t="shared" si="0"/>
        <v>0</v>
      </c>
      <c r="E11" s="15">
        <f>'Результативность по предметам'!E11</f>
        <v>0</v>
      </c>
      <c r="F11" s="17">
        <f>'Результативность по предметам'!I11+нерезульт.выступление!F11+'Похвальные листы Школы Предметы'!D9</f>
        <v>1</v>
      </c>
      <c r="G11" s="17">
        <f>'Результативность по предметам'!J11+нерезульт.выступление!G11+'Похвальные листы Школы Предметы'!E9</f>
        <v>2</v>
      </c>
      <c r="H11" s="17">
        <f>'Результативность по предметам'!K11+нерезульт.выступление!H11+'Похвальные листы Школы Предметы'!F9</f>
        <v>0</v>
      </c>
      <c r="I11" s="17">
        <f>'Результативность по предметам'!L11+нерезульт.выступление!I11+'Похвальные листы Школы Предметы'!G9</f>
        <v>0</v>
      </c>
      <c r="J11" s="17">
        <f>'Результативность по предметам'!M11+нерезульт.выступление!J11+'Похвальные листы Школы Предметы'!H9</f>
        <v>0</v>
      </c>
      <c r="K11" s="17">
        <f>'Результативность по предметам'!N11+нерезульт.выступление!K11+'Похвальные листы Школы Предметы'!I9</f>
        <v>0</v>
      </c>
      <c r="L11" s="17">
        <f>'Результативность по предметам'!O11+нерезульт.выступление!L11+'Похвальные листы Школы Предметы'!J9</f>
        <v>0</v>
      </c>
      <c r="M11" s="17">
        <f>'Результативность по предметам'!P11+нерезульт.выступление!M11+'Похвальные листы Школы Предметы'!K9</f>
        <v>0</v>
      </c>
      <c r="N11" s="17">
        <f>'Результативность по предметам'!Q11+нерезульт.выступление!N11+'Похвальные листы Школы Предметы'!L9</f>
        <v>0</v>
      </c>
      <c r="O11" s="17">
        <f>'Результативность по предметам'!R11+нерезульт.выступление!O11+'Похвальные листы Школы Предметы'!M9</f>
        <v>0</v>
      </c>
      <c r="P11" s="17">
        <f>'Результативность по предметам'!S11+нерезульт.выступление!P11+'Похвальные листы Школы Предметы'!N9</f>
        <v>0</v>
      </c>
      <c r="Q11" s="17">
        <f>'Результативность по предметам'!T11+нерезульт.выступление!Q11+'Похвальные листы Школы Предметы'!O9</f>
        <v>0</v>
      </c>
      <c r="R11" s="17">
        <f>'Результативность по предметам'!U11+нерезульт.выступление!R11+'Похвальные листы Школы Предметы'!P9</f>
        <v>0</v>
      </c>
      <c r="S11" s="17">
        <f>'Результативность по предметам'!V11+нерезульт.выступление!S11+'Похвальные листы Школы Предметы'!Q9</f>
        <v>0</v>
      </c>
      <c r="T11" s="17">
        <f>'Результативность по предметам'!W11+нерезульт.выступление!T11+'Похвальные листы Школы Предметы'!R9</f>
        <v>0</v>
      </c>
      <c r="U11" s="40">
        <f>'Похвальные листы Школы Предметы'!C9</f>
        <v>1</v>
      </c>
      <c r="W11" s="38">
        <f t="shared" si="1"/>
        <v>3</v>
      </c>
    </row>
    <row r="12" spans="1:23" ht="15.75" customHeight="1" x14ac:dyDescent="0.25">
      <c r="A12" s="14" t="s">
        <v>14</v>
      </c>
      <c r="B12" s="100">
        <v>80</v>
      </c>
      <c r="C12" s="8">
        <f>'Предварительная Результативност'!H11</f>
        <v>35</v>
      </c>
      <c r="D12" s="47">
        <f t="shared" si="0"/>
        <v>0.14285714285714285</v>
      </c>
      <c r="E12" s="15">
        <f>'Результативность по предметам'!E12</f>
        <v>5</v>
      </c>
      <c r="F12" s="17">
        <f>'Результативность по предметам'!I12+нерезульт.выступление!F12+'Похвальные листы Школы Предметы'!D10</f>
        <v>8</v>
      </c>
      <c r="G12" s="17">
        <f>'Результативность по предметам'!J12+нерезульт.выступление!G12+'Похвальные листы Школы Предметы'!E10</f>
        <v>8</v>
      </c>
      <c r="H12" s="17">
        <f>'Результативность по предметам'!K12+нерезульт.выступление!H12+'Похвальные листы Школы Предметы'!F10</f>
        <v>0</v>
      </c>
      <c r="I12" s="17">
        <f>'Результативность по предметам'!L12+нерезульт.выступление!I12+'Похвальные листы Школы Предметы'!G10</f>
        <v>0</v>
      </c>
      <c r="J12" s="17">
        <f>'Результативность по предметам'!M12+нерезульт.выступление!J12+'Похвальные листы Школы Предметы'!H10</f>
        <v>5</v>
      </c>
      <c r="K12" s="17">
        <f>'Результативность по предметам'!N12+нерезульт.выступление!K12+'Похвальные листы Школы Предметы'!I10</f>
        <v>0</v>
      </c>
      <c r="L12" s="17">
        <f>'Результативность по предметам'!O12+нерезульт.выступление!L12+'Похвальные листы Школы Предметы'!J10</f>
        <v>5</v>
      </c>
      <c r="M12" s="17">
        <f>'Результативность по предметам'!P12+нерезульт.выступление!M12+'Похвальные листы Школы Предметы'!K10</f>
        <v>0</v>
      </c>
      <c r="N12" s="17">
        <f>'Результативность по предметам'!Q12+нерезульт.выступление!N12+'Похвальные листы Школы Предметы'!L10</f>
        <v>3</v>
      </c>
      <c r="O12" s="17">
        <f>'Результативность по предметам'!R12+нерезульт.выступление!O12+'Похвальные листы Школы Предметы'!M10</f>
        <v>2</v>
      </c>
      <c r="P12" s="17">
        <f>'Результативность по предметам'!S12+нерезульт.выступление!P12+'Похвальные листы Школы Предметы'!N10</f>
        <v>0</v>
      </c>
      <c r="Q12" s="17">
        <f>'Результативность по предметам'!T12+нерезульт.выступление!Q12+'Похвальные листы Школы Предметы'!O10</f>
        <v>0</v>
      </c>
      <c r="R12" s="17">
        <f>'Результативность по предметам'!U12+нерезульт.выступление!R12+'Похвальные листы Школы Предметы'!P10</f>
        <v>1</v>
      </c>
      <c r="S12" s="17">
        <f>'Результативность по предметам'!V12+нерезульт.выступление!S12+'Похвальные листы Школы Предметы'!Q10</f>
        <v>1</v>
      </c>
      <c r="T12" s="17">
        <f>'Результативность по предметам'!W12+нерезульт.выступление!T12+'Похвальные листы Школы Предметы'!R10</f>
        <v>2</v>
      </c>
      <c r="U12" s="40">
        <f>'Похвальные листы Школы Предметы'!C10</f>
        <v>13</v>
      </c>
      <c r="W12" s="38">
        <f t="shared" si="1"/>
        <v>35</v>
      </c>
    </row>
    <row r="13" spans="1:23" ht="15.75" hidden="1" customHeight="1" x14ac:dyDescent="0.25">
      <c r="A13" s="14" t="s">
        <v>38</v>
      </c>
      <c r="B13" s="100"/>
      <c r="C13" s="8">
        <f>'Предварительная Результативност'!H12</f>
        <v>0</v>
      </c>
      <c r="D13" s="47" t="e">
        <f t="shared" si="0"/>
        <v>#DIV/0!</v>
      </c>
      <c r="E13" s="15">
        <f>'Результативность по предметам'!E13</f>
        <v>0</v>
      </c>
      <c r="F13" s="17">
        <f>'Результативность по предметам'!I13+нерезульт.выступление!F13+'Похвальные листы Школы Предметы'!D11</f>
        <v>0</v>
      </c>
      <c r="G13" s="17">
        <f>'Результативность по предметам'!J13+нерезульт.выступление!G13+'Похвальные листы Школы Предметы'!E11</f>
        <v>0</v>
      </c>
      <c r="H13" s="17">
        <f>'Результативность по предметам'!K13+нерезульт.выступление!H13+'Похвальные листы Школы Предметы'!F11</f>
        <v>0</v>
      </c>
      <c r="I13" s="17">
        <f>'Результативность по предметам'!L13+нерезульт.выступление!I13+'Похвальные листы Школы Предметы'!G11</f>
        <v>0</v>
      </c>
      <c r="J13" s="17">
        <f>'Результативность по предметам'!M13+нерезульт.выступление!J13+'Похвальные листы Школы Предметы'!H11</f>
        <v>0</v>
      </c>
      <c r="K13" s="17">
        <f>'Результативность по предметам'!N13+нерезульт.выступление!K13+'Похвальные листы Школы Предметы'!I11</f>
        <v>0</v>
      </c>
      <c r="L13" s="17">
        <f>'Результативность по предметам'!O13+нерезульт.выступление!L13+'Похвальные листы Школы Предметы'!J11</f>
        <v>0</v>
      </c>
      <c r="M13" s="17">
        <f>'Результативность по предметам'!P13+нерезульт.выступление!M13+'Похвальные листы Школы Предметы'!K11</f>
        <v>0</v>
      </c>
      <c r="N13" s="17">
        <f>'Результативность по предметам'!Q13+нерезульт.выступление!N13+'Похвальные листы Школы Предметы'!L11</f>
        <v>0</v>
      </c>
      <c r="O13" s="17">
        <f>'Результативность по предметам'!R13+нерезульт.выступление!O13+'Похвальные листы Школы Предметы'!M11</f>
        <v>0</v>
      </c>
      <c r="P13" s="17">
        <f>'Результативность по предметам'!S13+нерезульт.выступление!P13+'Похвальные листы Школы Предметы'!N11</f>
        <v>0</v>
      </c>
      <c r="Q13" s="17">
        <f>'Результативность по предметам'!T13+нерезульт.выступление!Q13+'Похвальные листы Школы Предметы'!O11</f>
        <v>0</v>
      </c>
      <c r="R13" s="17">
        <f>'Результативность по предметам'!U13+нерезульт.выступление!R13+'Похвальные листы Школы Предметы'!P11</f>
        <v>0</v>
      </c>
      <c r="S13" s="17"/>
      <c r="T13" s="17">
        <f>'Результативность по предметам'!V13+нерезульт.выступление!T13+'Похвальные листы Школы Предметы'!R11</f>
        <v>0</v>
      </c>
      <c r="U13" s="40">
        <f>'Похвальные листы Школы Предметы'!C11</f>
        <v>0</v>
      </c>
      <c r="W13" s="38">
        <f t="shared" si="1"/>
        <v>0</v>
      </c>
    </row>
    <row r="14" spans="1:23" ht="15.75" customHeight="1" x14ac:dyDescent="0.25">
      <c r="A14" s="14" t="s">
        <v>39</v>
      </c>
      <c r="B14" s="100">
        <v>42</v>
      </c>
      <c r="C14" s="8">
        <f>'Предварительная Результативност'!H13</f>
        <v>15</v>
      </c>
      <c r="D14" s="47">
        <f t="shared" si="0"/>
        <v>0.46666666666666667</v>
      </c>
      <c r="E14" s="15">
        <f>'Результативность по предметам'!E14</f>
        <v>7</v>
      </c>
      <c r="F14" s="17">
        <f>'Результативность по предметам'!I14+нерезульт.выступление!F14+'Похвальные листы Школы Предметы'!D12</f>
        <v>6</v>
      </c>
      <c r="G14" s="17">
        <f>'Результативность по предметам'!J14+нерезульт.выступление!G14+'Похвальные листы Школы Предметы'!E12</f>
        <v>3</v>
      </c>
      <c r="H14" s="17">
        <f>'Результативность по предметам'!K14+нерезульт.выступление!H14+'Похвальные листы Школы Предметы'!F12</f>
        <v>0</v>
      </c>
      <c r="I14" s="17">
        <f>'Результативность по предметам'!L14+нерезульт.выступление!I14+'Похвальные листы Школы Предметы'!G12</f>
        <v>0</v>
      </c>
      <c r="J14" s="17">
        <f>'Результативность по предметам'!M14+нерезульт.выступление!J14+'Похвальные листы Школы Предметы'!H12</f>
        <v>0</v>
      </c>
      <c r="K14" s="17">
        <f>'Результативность по предметам'!N14+нерезульт.выступление!K14+'Похвальные листы Школы Предметы'!I12</f>
        <v>0</v>
      </c>
      <c r="L14" s="17">
        <f>'Результативность по предметам'!O14+нерезульт.выступление!L14+'Похвальные листы Школы Предметы'!J12</f>
        <v>0</v>
      </c>
      <c r="M14" s="17">
        <f>'Результативность по предметам'!P14+нерезульт.выступление!M14+'Похвальные листы Школы Предметы'!K12</f>
        <v>0</v>
      </c>
      <c r="N14" s="17">
        <f>'Результативность по предметам'!Q14+нерезульт.выступление!N14+'Похвальные листы Школы Предметы'!L12</f>
        <v>0</v>
      </c>
      <c r="O14" s="17">
        <f>'Результативность по предметам'!R14+нерезульт.выступление!O14+'Похвальные листы Школы Предметы'!M12</f>
        <v>0</v>
      </c>
      <c r="P14" s="17">
        <f>'Результативность по предметам'!S14+нерезульт.выступление!P14+'Похвальные листы Школы Предметы'!N12</f>
        <v>0</v>
      </c>
      <c r="Q14" s="17">
        <f>'Результативность по предметам'!T14+нерезульт.выступление!Q14+'Похвальные листы Школы Предметы'!O12</f>
        <v>0</v>
      </c>
      <c r="R14" s="17">
        <f>'Результативность по предметам'!U14+нерезульт.выступление!R14+'Похвальные листы Школы Предметы'!P12</f>
        <v>0</v>
      </c>
      <c r="S14" s="17">
        <f>'Результативность по предметам'!V14+нерезульт.выступление!S14+'Похвальные листы Школы Предметы'!Q12</f>
        <v>4</v>
      </c>
      <c r="T14" s="17">
        <f>'Результативность по предметам'!W14+нерезульт.выступление!T14+'Похвальные листы Школы Предметы'!R12</f>
        <v>2</v>
      </c>
      <c r="U14" s="40">
        <f>'Похвальные листы Школы Предметы'!C12</f>
        <v>3</v>
      </c>
      <c r="W14" s="38">
        <f t="shared" si="1"/>
        <v>15</v>
      </c>
    </row>
    <row r="15" spans="1:23" ht="15.75" customHeight="1" x14ac:dyDescent="0.25">
      <c r="A15" s="14" t="s">
        <v>79</v>
      </c>
      <c r="B15" s="100">
        <v>29</v>
      </c>
      <c r="C15" s="8">
        <f>'Предварительная Результативност'!H14</f>
        <v>5</v>
      </c>
      <c r="D15" s="47">
        <f t="shared" si="0"/>
        <v>0.6</v>
      </c>
      <c r="E15" s="15">
        <f>'Результативность по предметам'!E15</f>
        <v>3</v>
      </c>
      <c r="F15" s="17">
        <f>'Результативность по предметам'!I15+нерезульт.выступление!F15+'Похвальные листы Школы Предметы'!D13</f>
        <v>2</v>
      </c>
      <c r="G15" s="17">
        <f>'Результативность по предметам'!J15+нерезульт.выступление!G15+'Похвальные листы Школы Предметы'!E13</f>
        <v>1</v>
      </c>
      <c r="H15" s="17">
        <f>'Результативность по предметам'!K15+нерезульт.выступление!H15+'Похвальные листы Школы Предметы'!F13</f>
        <v>1</v>
      </c>
      <c r="I15" s="17">
        <f>'Результативность по предметам'!L15+нерезульт.выступление!I15+'Похвальные листы Школы Предметы'!G13</f>
        <v>0</v>
      </c>
      <c r="J15" s="17">
        <f>'Результативность по предметам'!M15+нерезульт.выступление!J15+'Похвальные листы Школы Предметы'!H13</f>
        <v>0</v>
      </c>
      <c r="K15" s="17">
        <f>'Результативность по предметам'!N15+нерезульт.выступление!K15+'Похвальные листы Школы Предметы'!I13</f>
        <v>0</v>
      </c>
      <c r="L15" s="17">
        <f>'Результативность по предметам'!O15+нерезульт.выступление!L15+'Похвальные листы Школы Предметы'!J13</f>
        <v>0</v>
      </c>
      <c r="M15" s="17">
        <f>'Результативность по предметам'!P15+нерезульт.выступление!M15+'Похвальные листы Школы Предметы'!K13</f>
        <v>0</v>
      </c>
      <c r="N15" s="17">
        <f>'Результативность по предметам'!Q15+нерезульт.выступление!N15+'Похвальные листы Школы Предметы'!L13</f>
        <v>0</v>
      </c>
      <c r="O15" s="17">
        <f>'Результативность по предметам'!R15+нерезульт.выступление!O15+'Похвальные листы Школы Предметы'!M13</f>
        <v>0</v>
      </c>
      <c r="P15" s="17">
        <f>'Результативность по предметам'!S15+нерезульт.выступление!P15+'Похвальные листы Школы Предметы'!N13</f>
        <v>0</v>
      </c>
      <c r="Q15" s="17">
        <f>'Результативность по предметам'!T15+нерезульт.выступление!Q15+'Похвальные листы Школы Предметы'!O13</f>
        <v>0</v>
      </c>
      <c r="R15" s="17">
        <f>'Результативность по предметам'!U15+нерезульт.выступление!R15+'Похвальные листы Школы Предметы'!P13</f>
        <v>0</v>
      </c>
      <c r="S15" s="17">
        <f>'Результативность по предметам'!V15+нерезульт.выступление!S15+'Похвальные листы Школы Предметы'!Q13</f>
        <v>0</v>
      </c>
      <c r="T15" s="17">
        <f>'Результативность по предметам'!W15+нерезульт.выступление!T15+'Похвальные листы Школы Предметы'!R13</f>
        <v>1</v>
      </c>
      <c r="U15" s="40">
        <f>'Похвальные листы Школы Предметы'!C13</f>
        <v>1</v>
      </c>
      <c r="W15" s="38">
        <f t="shared" si="1"/>
        <v>5</v>
      </c>
    </row>
    <row r="16" spans="1:23" ht="15.75" customHeight="1" x14ac:dyDescent="0.25">
      <c r="A16" s="14" t="s">
        <v>72</v>
      </c>
      <c r="B16" s="100">
        <v>50</v>
      </c>
      <c r="C16" s="8">
        <f>'Предварительная Результативност'!H15</f>
        <v>9</v>
      </c>
      <c r="D16" s="47">
        <f t="shared" si="0"/>
        <v>0.22222222222222221</v>
      </c>
      <c r="E16" s="15">
        <f>'Результативность по предметам'!E16</f>
        <v>2</v>
      </c>
      <c r="F16" s="17">
        <f>'Результативность по предметам'!I16+нерезульт.выступление!F16+'Похвальные листы Школы Предметы'!D14</f>
        <v>1</v>
      </c>
      <c r="G16" s="17">
        <f>'Результативность по предметам'!J16+нерезульт.выступление!G16+'Похвальные листы Школы Предметы'!E14</f>
        <v>4</v>
      </c>
      <c r="H16" s="17">
        <f>'Результативность по предметам'!K16+нерезульт.выступление!H16+'Похвальные листы Школы Предметы'!F14</f>
        <v>1</v>
      </c>
      <c r="I16" s="17">
        <f>'Результативность по предметам'!L16+нерезульт.выступление!I16+'Похвальные листы Школы Предметы'!G14</f>
        <v>0</v>
      </c>
      <c r="J16" s="17">
        <f>'Результативность по предметам'!M16+нерезульт.выступление!J16+'Похвальные листы Школы Предметы'!H14</f>
        <v>3</v>
      </c>
      <c r="K16" s="17">
        <f>'Результативность по предметам'!N16+нерезульт.выступление!K16+'Похвальные листы Школы Предметы'!I14</f>
        <v>0</v>
      </c>
      <c r="L16" s="17">
        <f>'Результативность по предметам'!O16+нерезульт.выступление!L16+'Похвальные листы Школы Предметы'!J14</f>
        <v>0</v>
      </c>
      <c r="M16" s="17">
        <f>'Результативность по предметам'!P16+нерезульт.выступление!M16+'Похвальные листы Школы Предметы'!K14</f>
        <v>0</v>
      </c>
      <c r="N16" s="17">
        <f>'Результативность по предметам'!Q16+нерезульт.выступление!N16+'Похвальные листы Школы Предметы'!L14</f>
        <v>0</v>
      </c>
      <c r="O16" s="17">
        <f>'Результативность по предметам'!R16+нерезульт.выступление!O16+'Похвальные листы Школы Предметы'!M14</f>
        <v>0</v>
      </c>
      <c r="P16" s="17">
        <f>'Результативность по предметам'!S16+нерезульт.выступление!P16+'Похвальные листы Школы Предметы'!N14</f>
        <v>0</v>
      </c>
      <c r="Q16" s="17">
        <f>'Результативность по предметам'!T16+нерезульт.выступление!Q16+'Похвальные листы Школы Предметы'!O14</f>
        <v>0</v>
      </c>
      <c r="R16" s="17">
        <f>'Результативность по предметам'!U16+нерезульт.выступление!R16+'Похвальные листы Школы Предметы'!P14</f>
        <v>0</v>
      </c>
      <c r="S16" s="17">
        <f>'Результативность по предметам'!V16+нерезульт.выступление!S16+'Похвальные листы Школы Предметы'!Q14</f>
        <v>0</v>
      </c>
      <c r="T16" s="17">
        <f>'Результативность по предметам'!W16+нерезульт.выступление!T16+'Похвальные листы Школы Предметы'!R14</f>
        <v>0</v>
      </c>
      <c r="U16" s="40">
        <f>'Похвальные листы Школы Предметы'!C14</f>
        <v>2</v>
      </c>
      <c r="W16" s="38">
        <f t="shared" si="1"/>
        <v>9</v>
      </c>
    </row>
    <row r="17" spans="1:23" ht="31.5" hidden="1" customHeight="1" x14ac:dyDescent="0.25">
      <c r="A17" s="14" t="s">
        <v>40</v>
      </c>
      <c r="B17" s="43">
        <v>26</v>
      </c>
      <c r="C17" s="8">
        <f>'Предварительная Результативност'!H17</f>
        <v>0</v>
      </c>
      <c r="D17" s="47" t="e">
        <f t="shared" si="0"/>
        <v>#DIV/0!</v>
      </c>
      <c r="E17" s="15">
        <f>'Результативность по предметам'!E17</f>
        <v>0</v>
      </c>
      <c r="F17" s="17">
        <f>'Результативность по предметам'!I17+нерезульт.выступление!F17+'Похвальные листы Школы Предметы'!D15</f>
        <v>0</v>
      </c>
      <c r="G17" s="17">
        <f>'Результативность по предметам'!J17+нерезульт.выступление!G17+'Похвальные листы Школы Предметы'!E15</f>
        <v>0</v>
      </c>
      <c r="H17" s="17">
        <f>'Результативность по предметам'!K17+нерезульт.выступление!H17+'Похвальные листы Школы Предметы'!F15</f>
        <v>0</v>
      </c>
      <c r="I17" s="17">
        <f>'Результативность по предметам'!L17+нерезульт.выступление!I17+'Похвальные листы Школы Предметы'!G15</f>
        <v>0</v>
      </c>
      <c r="J17" s="17">
        <f>'Результативность по предметам'!M17+нерезульт.выступление!J17+'Похвальные листы Школы Предметы'!H15</f>
        <v>0</v>
      </c>
      <c r="K17" s="17">
        <f>'Результативность по предметам'!N17+нерезульт.выступление!K17+'Похвальные листы Школы Предметы'!I15</f>
        <v>0</v>
      </c>
      <c r="L17" s="17">
        <f>'Результативность по предметам'!O17+нерезульт.выступление!L17+'Похвальные листы Школы Предметы'!J15</f>
        <v>0</v>
      </c>
      <c r="M17" s="17">
        <f>'Результативность по предметам'!P17+нерезульт.выступление!M17+'Похвальные листы Школы Предметы'!K15</f>
        <v>0</v>
      </c>
      <c r="N17" s="17">
        <f>'Результативность по предметам'!Q17+нерезульт.выступление!N17+'Похвальные листы Школы Предметы'!L15</f>
        <v>0</v>
      </c>
      <c r="O17" s="17">
        <f>'Результативность по предметам'!R17+нерезульт.выступление!O17+'Похвальные листы Школы Предметы'!M15</f>
        <v>0</v>
      </c>
      <c r="P17" s="17">
        <f>'Результативность по предметам'!S17+нерезульт.выступление!P17+'Похвальные листы Школы Предметы'!N15</f>
        <v>0</v>
      </c>
      <c r="Q17" s="17">
        <f>'Результативность по предметам'!T17+нерезульт.выступление!Q17+'Похвальные листы Школы Предметы'!O15</f>
        <v>0</v>
      </c>
      <c r="R17" s="17">
        <f>'Результативность по предметам'!U17+нерезульт.выступление!R17+'Похвальные листы Школы Предметы'!P15</f>
        <v>0</v>
      </c>
      <c r="S17" s="17"/>
      <c r="T17" s="17">
        <f>'Результативность по предметам'!V17+нерезульт.выступление!T17+'Похвальные листы Школы Предметы'!R15</f>
        <v>0</v>
      </c>
      <c r="U17" s="40">
        <f>'Похвальные листы Школы Предметы'!C15</f>
        <v>0</v>
      </c>
    </row>
    <row r="18" spans="1:23" ht="15.75" hidden="1" customHeight="1" x14ac:dyDescent="0.25">
      <c r="A18" s="14" t="s">
        <v>25</v>
      </c>
      <c r="B18" s="43">
        <v>15</v>
      </c>
      <c r="C18" s="8">
        <f>'Предварительная Результативност'!H18</f>
        <v>0</v>
      </c>
      <c r="D18" s="47" t="e">
        <f t="shared" si="0"/>
        <v>#DIV/0!</v>
      </c>
      <c r="E18" s="15">
        <f>'Результативность по предметам'!E18</f>
        <v>0</v>
      </c>
      <c r="F18" s="17">
        <f>'Результативность по предметам'!I18+нерезульт.выступление!F18+'Похвальные листы Школы Предметы'!D16</f>
        <v>0</v>
      </c>
      <c r="G18" s="17">
        <f>'Результативность по предметам'!J18+нерезульт.выступление!G18+'Похвальные листы Школы Предметы'!E16</f>
        <v>0</v>
      </c>
      <c r="H18" s="17">
        <f>'Результативность по предметам'!K18+нерезульт.выступление!H18+'Похвальные листы Школы Предметы'!F16</f>
        <v>0</v>
      </c>
      <c r="I18" s="17">
        <f>'Результативность по предметам'!L18+нерезульт.выступление!I18+'Похвальные листы Школы Предметы'!G16</f>
        <v>0</v>
      </c>
      <c r="J18" s="17">
        <f>'Результативность по предметам'!M18+нерезульт.выступление!J18+'Похвальные листы Школы Предметы'!H16</f>
        <v>0</v>
      </c>
      <c r="K18" s="17">
        <f>'Результативность по предметам'!N18+нерезульт.выступление!K18+'Похвальные листы Школы Предметы'!I16</f>
        <v>0</v>
      </c>
      <c r="L18" s="17">
        <f>'Результативность по предметам'!O18+нерезульт.выступление!L18+'Похвальные листы Школы Предметы'!J16</f>
        <v>0</v>
      </c>
      <c r="M18" s="17">
        <f>'Результативность по предметам'!P18+нерезульт.выступление!M18+'Похвальные листы Школы Предметы'!K16</f>
        <v>0</v>
      </c>
      <c r="N18" s="17">
        <f>'Результативность по предметам'!Q18+нерезульт.выступление!N18+'Похвальные листы Школы Предметы'!L16</f>
        <v>0</v>
      </c>
      <c r="O18" s="17">
        <f>'Результативность по предметам'!R18+нерезульт.выступление!O18+'Похвальные листы Школы Предметы'!M16</f>
        <v>0</v>
      </c>
      <c r="P18" s="17">
        <f>'Результативность по предметам'!S18+нерезульт.выступление!P18+'Похвальные листы Школы Предметы'!N16</f>
        <v>0</v>
      </c>
      <c r="Q18" s="17">
        <f>'Результативность по предметам'!T18+нерезульт.выступление!Q18+'Похвальные листы Школы Предметы'!O16</f>
        <v>0</v>
      </c>
      <c r="R18" s="17">
        <f>'Результативность по предметам'!U18+нерезульт.выступление!R18+'Похвальные листы Школы Предметы'!P16</f>
        <v>0</v>
      </c>
      <c r="S18" s="17"/>
      <c r="T18" s="17">
        <f>'Результативность по предметам'!V18+нерезульт.выступление!T18+'Похвальные листы Школы Предметы'!R16</f>
        <v>0</v>
      </c>
      <c r="U18" s="40">
        <f>'Похвальные листы Школы Предметы'!C16</f>
        <v>0</v>
      </c>
    </row>
    <row r="19" spans="1:23" ht="15.75" hidden="1" customHeight="1" x14ac:dyDescent="0.25">
      <c r="A19" s="14" t="s">
        <v>20</v>
      </c>
      <c r="B19" s="43">
        <v>7</v>
      </c>
      <c r="C19" s="8">
        <f>'Предварительная Результативност'!H19</f>
        <v>0</v>
      </c>
      <c r="D19" s="47" t="e">
        <f t="shared" si="0"/>
        <v>#DIV/0!</v>
      </c>
      <c r="E19" s="15">
        <f>'Результативность по предметам'!E19</f>
        <v>0</v>
      </c>
      <c r="F19" s="17">
        <f>'Результативность по предметам'!I19+нерезульт.выступление!F19+'Похвальные листы Школы Предметы'!D17</f>
        <v>0</v>
      </c>
      <c r="G19" s="17">
        <f>'Результативность по предметам'!J19+нерезульт.выступление!G19+'Похвальные листы Школы Предметы'!E17</f>
        <v>0</v>
      </c>
      <c r="H19" s="17">
        <f>'Результативность по предметам'!K19+нерезульт.выступление!H19+'Похвальные листы Школы Предметы'!F17</f>
        <v>0</v>
      </c>
      <c r="I19" s="17">
        <f>'Результативность по предметам'!L19+нерезульт.выступление!I19+'Похвальные листы Школы Предметы'!G17</f>
        <v>0</v>
      </c>
      <c r="J19" s="17">
        <f>'Результативность по предметам'!M19+нерезульт.выступление!J19+'Похвальные листы Школы Предметы'!H17</f>
        <v>0</v>
      </c>
      <c r="K19" s="17">
        <f>'Результативность по предметам'!N19+нерезульт.выступление!K19+'Похвальные листы Школы Предметы'!I17</f>
        <v>0</v>
      </c>
      <c r="L19" s="17">
        <f>'Результативность по предметам'!O19+нерезульт.выступление!L19+'Похвальные листы Школы Предметы'!J17</f>
        <v>0</v>
      </c>
      <c r="M19" s="17">
        <f>'Результативность по предметам'!P19+нерезульт.выступление!M19+'Похвальные листы Школы Предметы'!K17</f>
        <v>0</v>
      </c>
      <c r="N19" s="17">
        <f>'Результативность по предметам'!Q19+нерезульт.выступление!N19+'Похвальные листы Школы Предметы'!L17</f>
        <v>0</v>
      </c>
      <c r="O19" s="17">
        <f>'Результативность по предметам'!R19+нерезульт.выступление!O19+'Похвальные листы Школы Предметы'!M17</f>
        <v>0</v>
      </c>
      <c r="P19" s="17">
        <f>'Результативность по предметам'!S19+нерезульт.выступление!P19+'Похвальные листы Школы Предметы'!N17</f>
        <v>0</v>
      </c>
      <c r="Q19" s="17">
        <f>'Результативность по предметам'!T19+нерезульт.выступление!Q19+'Похвальные листы Школы Предметы'!O17</f>
        <v>0</v>
      </c>
      <c r="R19" s="17">
        <f>'Результативность по предметам'!U19+нерезульт.выступление!R19+'Похвальные листы Школы Предметы'!P17</f>
        <v>0</v>
      </c>
      <c r="S19" s="17"/>
      <c r="T19" s="17">
        <f>'Результативность по предметам'!V19+нерезульт.выступление!T19+'Похвальные листы Школы Предметы'!R17</f>
        <v>0</v>
      </c>
      <c r="U19" s="40">
        <f>'Похвальные листы Школы Предметы'!C17</f>
        <v>0</v>
      </c>
    </row>
    <row r="20" spans="1:23" ht="31.5" customHeight="1" x14ac:dyDescent="0.25">
      <c r="A20" s="22" t="s">
        <v>41</v>
      </c>
      <c r="B20" s="62">
        <f>SUM(B5:B16)</f>
        <v>1064</v>
      </c>
      <c r="C20" s="61">
        <f>SUM(C5:C19)</f>
        <v>239</v>
      </c>
      <c r="D20" s="57">
        <f t="shared" si="0"/>
        <v>0.35146443514644349</v>
      </c>
      <c r="E20" s="56">
        <f>'Результативность по предметам'!E20</f>
        <v>84</v>
      </c>
      <c r="F20" s="24">
        <f>SUM(F5:F16)</f>
        <v>53</v>
      </c>
      <c r="G20" s="25">
        <f>SUM(G5:G19)</f>
        <v>62</v>
      </c>
      <c r="H20" s="26">
        <f t="shared" ref="H20:R20" si="2">SUM(H3:H19)</f>
        <v>11</v>
      </c>
      <c r="I20" s="27">
        <f t="shared" si="2"/>
        <v>0</v>
      </c>
      <c r="J20" s="28">
        <f t="shared" si="2"/>
        <v>36</v>
      </c>
      <c r="K20" s="29">
        <f t="shared" si="2"/>
        <v>0</v>
      </c>
      <c r="L20" s="30">
        <f t="shared" si="2"/>
        <v>17</v>
      </c>
      <c r="M20" s="31">
        <f t="shared" si="2"/>
        <v>0</v>
      </c>
      <c r="N20" s="29">
        <f t="shared" si="2"/>
        <v>12</v>
      </c>
      <c r="O20" s="32">
        <f t="shared" si="2"/>
        <v>9</v>
      </c>
      <c r="P20" s="26">
        <f t="shared" si="2"/>
        <v>4</v>
      </c>
      <c r="Q20" s="33">
        <f t="shared" si="2"/>
        <v>0</v>
      </c>
      <c r="R20" s="28">
        <f t="shared" si="2"/>
        <v>4</v>
      </c>
      <c r="S20" s="34">
        <f>SUM(S5:S19)</f>
        <v>19</v>
      </c>
      <c r="T20" s="34">
        <f>SUM(T5:T19)</f>
        <v>12</v>
      </c>
      <c r="U20" s="55">
        <f>SUM(U5:U19)</f>
        <v>58</v>
      </c>
      <c r="V20" s="38"/>
      <c r="W20" s="38"/>
    </row>
    <row r="21" spans="1:23" ht="15.75" customHeight="1" x14ac:dyDescent="0.25">
      <c r="A21" s="1"/>
      <c r="B21" s="1"/>
      <c r="C21" s="1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97">
        <f>SUM(F20:T20)</f>
        <v>239</v>
      </c>
      <c r="N22" s="1"/>
      <c r="O22" s="1"/>
      <c r="P22" s="1"/>
      <c r="Q22" s="1"/>
    </row>
    <row r="23" spans="1:2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</sheetData>
  <mergeCells count="23">
    <mergeCell ref="T3:T4"/>
    <mergeCell ref="G3:G4"/>
    <mergeCell ref="H3:H4"/>
    <mergeCell ref="I3:I4"/>
    <mergeCell ref="J3:J4"/>
    <mergeCell ref="K3:K4"/>
    <mergeCell ref="S3:S4"/>
    <mergeCell ref="A1:U1"/>
    <mergeCell ref="R3:R4"/>
    <mergeCell ref="M3:M4"/>
    <mergeCell ref="N3:N4"/>
    <mergeCell ref="O3:O4"/>
    <mergeCell ref="P3:P4"/>
    <mergeCell ref="Q3:Q4"/>
    <mergeCell ref="L3:L4"/>
    <mergeCell ref="A2:A4"/>
    <mergeCell ref="B2:B4"/>
    <mergeCell ref="C2:C4"/>
    <mergeCell ref="D2:D4"/>
    <mergeCell ref="E2:E4"/>
    <mergeCell ref="F2:T2"/>
    <mergeCell ref="U2:U4"/>
    <mergeCell ref="F3:F4"/>
  </mergeCells>
  <pageMargins left="0.19685039370078741" right="0.19685039370078741" top="1.7322834645669292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Самопроверка по школам</vt:lpstr>
      <vt:lpstr>Предварительная Результативност</vt:lpstr>
      <vt:lpstr>Результативность по предметам</vt:lpstr>
      <vt:lpstr>Награждение по итогам</vt:lpstr>
      <vt:lpstr>нерезульт.выступление</vt:lpstr>
      <vt:lpstr>Похвальные листы Школы Предметы</vt:lpstr>
      <vt:lpstr>К-во уч-ков по школам по предм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Admin</cp:lastModifiedBy>
  <cp:lastPrinted>2017-12-14T11:06:02Z</cp:lastPrinted>
  <dcterms:created xsi:type="dcterms:W3CDTF">2009-12-08T06:08:07Z</dcterms:created>
  <dcterms:modified xsi:type="dcterms:W3CDTF">2025-05-13T11:45:36Z</dcterms:modified>
</cp:coreProperties>
</file>